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7.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36.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43.xml" ContentType="application/vnd.openxmlformats-officedocument.spreadsheetml.table+xml"/>
  <Override PartName="/xl/tables/table6.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2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3.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5.xml" ContentType="application/vnd.openxmlformats-officedocument.spreadsheetml.table+xml"/>
  <Override PartName="/xl/tables/table7.xml" ContentType="application/vnd.openxmlformats-officedocument.spreadsheetml.table+xml"/>
  <Override PartName="/xl/tables/table44.xml" ContentType="application/vnd.openxmlformats-officedocument.spreadsheetml.table+xml"/>
  <Override PartName="/xl/tables/table12.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29.xml" ContentType="application/vnd.openxmlformats-officedocument.spreadsheetml.table+xml"/>
  <Override PartName="/xl/tables/table31.xml" ContentType="application/vnd.openxmlformats-officedocument.spreadsheetml.table+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3.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Assignments" sheetId="15" state="visible" r:id="rId17"/>
    <sheet name="Sprints" sheetId="16" state="visible" r:id="rId18"/>
    <sheet name="Holidays" sheetId="17" state="visible" r:id="rId19"/>
    <sheet name="Leave" sheetId="18" state="visible" r:id="rId20"/>
    <sheet name="MSP_Tasks" sheetId="19" state="visible" r:id="rId21"/>
    <sheet name="MSP_Resources" sheetId="20" state="visible" r:id="rId22"/>
    <sheet name="Lists" sheetId="21" state="visible" r:id="rId23"/>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U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F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G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K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Everyone on the task: Resource plus the Assignments sheet's rows for its UID (MS Project's Resource Names).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R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S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U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V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X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Y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A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F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<sst xmlns="http://schemas.openxmlformats.org/spreadsheetml/2006/main" count="956" uniqueCount="727">
  <si>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</si>
  <si>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</si>
  <si>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</si>
  <si>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</si>
  <si>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</si>
  <si>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</si>
  <si>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</si>
  <si>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</si>
  <si>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</si>
  <si>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</si>
  <si>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</si>
  <si>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</si>
  <si>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</si>
  <si>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</si>
  <si>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</si>
  <si>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</si>
  <si>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</si>
  <si>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</si>
  <si>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</si>
  <si>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</si>
  <si>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</si>
  <si>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</si>
  <si>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</si>
  <si>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</si>
  <si>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</si>
  <si>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</si>
  <si>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</si>
  <si>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</si>
  <si>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</si>
  <si>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</si>
  <si>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</si>
  <si>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</si>
  <si>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</si>
  <si>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</si>
  <si>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</si>
  <si>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</si>
  <si>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</si>
  <si>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</si>
  <si>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</si>
  <si>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</si>
  <si>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</si>
  <si>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</si>
  <si>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</si>
  <si>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</si>
  <si>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</si>
  <si>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</si>
  <si>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</si>
  <si>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</si>
  <si>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</si>
  <si>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</si>
  <si>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</si>
  <si>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</si>
  <si>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</si>
  <si>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</si>
  <si>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</si>
  <si>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</si>
  <si>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</si>
  <si>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</si>
  <si>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</si>
  <si>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</si>
  <si>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</si>
  <si>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</si>
  <si>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</si>
  <si>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</si>
  <si>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</si>
  <si>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</si>
  <si>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</si>
  <si>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</si>
  <si>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</si>
  <si>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</si>
  <si>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</si>
  <si>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</si>
  <si>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</si>
  <si>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</si>
  <si>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</si>
  <si>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</si>
  <si>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</si>
  <si>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</si>
  <si>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</si>
  <si>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</si>
  <si>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</si>
  <si>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</si>
  <si>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</si>
  <si>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</si>
  <si>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</si>
  <si>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</si>
  <si>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AssignmentTable,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</si>
  <si>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</si>
  <si>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</si>
  <si>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</si>
  <si>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</si>
  <si>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</si>
  <si>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</si>
  <si>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</si>
  <si>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</si>
  <si>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</si>
  <si>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</si>
  <si>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</si>
  <si>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</si>
  <si>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</si>
  <si>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</si>
  <si>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</si>
  <si>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</si>
  <si>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</si>
  <si>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</si>
  <si>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</si>
  <si>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</si>
  <si>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</si>
  <si>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</si>
  <si>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</si>
  <si>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</si>
  <si>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</si>
  <si>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</si>
  <si>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</si>
  <si>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</si>
  <si>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</si>
  <si>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</si>
  <si>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</si>
  <si>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</si>
  <si>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</si>
  <si>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</si>
  <si>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</si>
  <si>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</si>
  <si>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</si>
  <si>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</si>
  <si>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</si>
  <si>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</si>
  <si>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</si>
  <si>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</si>
  <si>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</si>
  <si>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</si>
  <si>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</si>
  <si>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</si>
  <si>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</si>
  <si>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</si>
  <si>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</si>
  <si>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</si>
  <si>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</si>
  <si>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</si>
  <si>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</si>
  <si>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</si>
  <si>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</si>
  <si>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</si>
  <si>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</si>
  <si>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</si>
  <si>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</si>
  <si>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</si>
  <si>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</si>
  <si>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</si>
  <si>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</si>
  <si>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</si>
  <si>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</si>
  <si>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</si>
  <si>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</si>
  <si>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</si>
  <si>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</si>
  <si>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</si>
  <si>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</si>
  <si>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</si>
  <si>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</si>
  <si>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</si>
  <si>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</si>
  <si>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</si>
  <si>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</si>
  <si>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</si>
  <si>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</si>
  <si>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</si>
  <si>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</si>
  <si>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</si>
  <si>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</si>
  <si>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</si>
  <si>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</si>
  <si>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</si>
  <si>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</si>
  <si>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</si>
  <si>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</si>
  <si>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</si>
  <si>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</si>
  <si>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</si>
  <si>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</si>
  <si>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</si>
  <si>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</si>
  <si>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</si>
  <si>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</si>
  <si>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</si>
  <si>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</si>
  <si>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</si>
  <si>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</si>
  <si>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</si>
  <si>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</si>
  <si>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</si>
  <si>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</si>
  <si>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</si>
  <si>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</si>
  <si>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</si>
  <si>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</si>
  <si>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</si>
  <si>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</si>
  <si>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</si>
  <si>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</si>
  <si>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</si>
  <si>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</si>
  <si>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</si>
  <si>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</si>
  <si>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</si>
  <si>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</si>
  <si>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</si>
  <si>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</si>
  <si>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</si>
  <si>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</si>
  <si>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</si>
  <si>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</si>
  <si>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</si>
  <si>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</si>
  <si>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</si>
  <si>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</si>
  <si>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</si>
  <si>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</si>
  <si>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</si>
  <si>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</si>
  <si>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</si>
  <si>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</si>
  <si>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</si>
  <si>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</si>
  <si>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</si>
  <si>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</si>
  <si>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</si>
  <si>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</si>
  <si>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</si>
  <si>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</si>
  <si>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</si>
  <si>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</si>
  <si>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</si>
  <si>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</si>
  <si>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</si>
  <si>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</si>
  <si>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</si>
  <si>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</si>
  <si>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</si>
  <si>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</si>
  <si>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</si>
  <si>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</si>
  <si>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</si>
  <si>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</si>
  <si>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</si>
  <si>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</si>
  <si>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</si>
  <si>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</si>
  <si>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</si>
  <si>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</si>
  <si>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</si>
  <si>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</si>
  <si>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</si>
  <si>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</si>
  <si>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</si>
  <si>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</si>
  <si>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</si>
  <si>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</si>
  <si>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</si>
  <si>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</si>
  <si>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</si>
  <si>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</si>
  <si>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</si>
  <si>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</si>
  <si>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</si>
  <si>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</si>
  <si>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</si>
  <si>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</si>
  <si>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</si>
  <si>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</si>
  <si>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</si>
  <si>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</si>
  <si>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</si>
  <si>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</si>
  <si>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</si>
  <si>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</si>
  <si>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</si>
  <si>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</si>
  <si>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</si>
  <si>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</si>
  <si>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</si>
  <si>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</si>
  <si>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</si>
  <si>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</si>
  <si>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</si>
  <si>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</si>
  <si>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</si>
  <si>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</si>
  <si>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</si>
  <si>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</si>
  <si>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</si>
  <si>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</si>
  <si>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</si>
  <si>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</si>
  <si>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</si>
  <si>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</si>
  <si>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</si>
  <si>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</si>
  <si>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</si>
  <si>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</si>
  <si>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</si>
  <si>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</si>
  <si>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</si>
  <si>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</si>
  <si>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</si>
  <si>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</si>
  <si>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</si>
  <si>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</si>
  <si>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</si>
  <si>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</si>
  <si>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</si>
  <si>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</si>
  <si>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</si>
  <si>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</si>
  <si>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</si>
  <si>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</si>
  <si>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</si>
  <si>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</si>
  <si>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</si>
  <si>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</si>
  <si>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</si>
  <si>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</si>
  <si>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</si>
  <si>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</si>
  <si>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</si>
  <si>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</si>
  <si>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</si>
  <si>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</si>
  <si>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</si>
  <si>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</si>
  <si>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</si>
  <si>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</si>
  <si>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</si>
  <si>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</si>
  <si>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</si>
  <si>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</si>
  <si>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</si>
  <si>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</si>
  <si>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</si>
  <si>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</si>
  <si>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</si>
  <si>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</si>
  <si>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</si>
  <si>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</si>
  <si>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</si>
  <si>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</si>
  <si>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</si>
  <si>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</si>
  <si>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</si>
  <si>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</si>
  <si>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</si>
  <si>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</si>
  <si>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</si>
  <si>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</si>
  <si>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</si>
  <si>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</si>
  <si>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</si>
  <si>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</si>
  <si>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</si>
  <si>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</si>
  <si>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</si>
  <si>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</si>
  <si>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</si>
  <si>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</si>
  <si>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</si>
  <si>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</si>
  <si>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</si>
  <si>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</si>
  <si>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</si>
  <si>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</si>
  <si>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</si>
  <si>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</si>
  <si>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</si>
  <si>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</si>
  <si>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</si>
  <si>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</si>
  <si>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</si>
  <si>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</si>
  <si>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</si>
  <si>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</si>
  <si>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</si>
  <si>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</si>
  <si>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</si>
  <si>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</si>
  <si>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</si>
  <si>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</si>
  <si>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</si>
  <si>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</si>
  <si>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</si>
  <si>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</si>
  <si>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</si>
  <si>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</si>
  <si>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</si>
  <si>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</si>
  <si>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</si>
  <si>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</si>
  <si>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</si>
  <si>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</si>
  <si>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</si>
  <si>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</si>
  <si>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</si>
  <si>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</si>
  <si>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</si>
  <si>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</si>
  <si>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</si>
  <si>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</si>
  <si>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</si>
  <si>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</si>
  <si>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</si>
  <si>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</si>
  <si>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</si>
  <si>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</si>
  <si>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</si>
  <si>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</si>
  <si>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</si>
  <si>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</si>
  <si>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</si>
  <si>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</si>
  <si>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</si>
  <si>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</si>
  <si>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</si>
  <si>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</si>
  <si>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</si>
  <si>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</si>
  <si>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</si>
  <si>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</si>
  <si>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</si>
  <si>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</si>
  <si>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</si>
  <si>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</si>
  <si>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</si>
  <si>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</si>
  <si>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</si>
  <si>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</si>
  <si>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</si>
  <si>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</si>
  <si>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</si>
  <si>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</si>
  <si>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</si>
  <si>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</si>
  <si>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</si>
  <si>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</si>
  <si>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</si>
  <si>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</si>
  <si>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</si>
  <si>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</si>
  <si>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</si>
  <si>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</si>
  <si>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</si>
  <si>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</si>
  <si>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</si>
  <si>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</si>
  <si>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</si>
  <si>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</si>
  <si>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</si>
  <si>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</si>
  <si>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</si>
  <si>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</si>
  <si>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</si>
  <si>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</si>
  <si>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</si>
  <si>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</si>
  <si>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</si>
  <si>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</si>
  <si>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</si>
  <si>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</si>
  <si>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</si>
  <si>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</si>
  <si>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</si>
  <si>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</si>
  <si>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</si>
  <si>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</si>
  <si>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</si>
  <si>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</si>
  <si>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</si>
  <si>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</si>
  <si>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Resource Names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</si>
  <si>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</si>
  <si>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</si>
  <si>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</si>
  <si>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</si>
  <si>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</si>
  <si>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</si>
  <si>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</si>
  <si>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</si>
  <si>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</si>
  <si>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</si>
  <si>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</si>
  <si>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</si>
  <si>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</si>
  <si>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</si>
  <si>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</si>
  <si>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</si>
  <si>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</si>
  <si>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</si>
  <si>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</si>
  <si>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</si>
  <si>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</si>
  <si>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</si>
  <si>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</si>
  <si>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</si>
  <si>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</si>
  <si>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</si>
  <si>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</si>
  <si>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</si>
  <si>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</si>
  <si>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</si>
  <si>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</si>
  <si>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</si>
  <si>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</si>
  <si>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</si>
  <si>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</si>
  <si>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</si>
  <si>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</si>
  <si>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</si>
  <si>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</si>
  <si>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</si>
  <si>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</si>
  <si>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</si>
  <si>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</si>
  <si>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</si>
  <si>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</si>
  <si>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</si>
  <si>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</si>
  <si>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</si>
  <si>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</si>
  <si>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</si>
  <si>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</si>
  <si>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</si>
  <si>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</si>
  <si>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</si>
  <si>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</si>
  <si>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</si>
  <si>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</si>
  <si>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</si>
  <si>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</si>
  <si>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</si>
  <si>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</si>
  <si>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</si>
  <si>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</si>
  <si>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</si>
  <si>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</si>
  <si>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</si>
  <si>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</si>
  <si>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</si>
  <si>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</si>
  <si>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</si>
  <si>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</si>
  <si>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</si>
  <si>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</si>
  <si>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</si>
  <si>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</si>
  <si>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</si>
  <si>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</si>
  <si>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</si>
  <si>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</si>
  <si>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</si>
  <si>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</si>
  <si>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</si>
  <si>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</si>
  <si>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</si>
  <si>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</si>
  <si>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</si>
  <si>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</si>
  <si>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</si>
  <si>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</si>
  <si>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</si>
  <si>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</si>
  <si>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</si>
  <si>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</si>
  <si>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</si>
  <si>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</si>
  <si>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</si>
  <si>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</si>
  <si>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</si>
  <si>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</si>
  <si>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</si>
  <si>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</si>
  <si>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</si>
  <si>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</si>
  <si>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</si>
  <si>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</si>
  <si>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</si>
  <si>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</si>
  <si>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</si>
  <si>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</si>
  <si>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</si>
  <si>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</si>
  <si>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</si>
  <si>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</si>
  <si>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</si>
  <si>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</si>
  <si>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</si>
  <si>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</si>
  <si>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</si>
  <si>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</si>
  <si>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</si>
  <si>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</si>
  <si>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</si>
  <si>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</si>
  <si>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</si>
  <si>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</si>
  <si>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</si>
  <si>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</si>
  <si>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</si>
  <si>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</si>
  <si>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</si>
  <si>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</si>
  <si>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</si>
  <si>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</si>
  <si>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</si>
  <si>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</si>
  <si>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</si>
  <si>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</si>
  <si>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</si>
  <si>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</si>
  <si>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</si>
  <si>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</si>
  <si>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</si>
  <si>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</si>
  <si>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</si>
  <si>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</si>
  <si>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</si>
  <si>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</si>
  <si>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</si>
  <si>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</si>
  <si>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</si>
  <si>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</si>
  <si>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</si>
  <si>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</si>
  <si>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</si>
  <si>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</si>
  <si>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</si>
  <si>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</si>
  <si>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</si>
  <si>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</si>
  <si>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</si>
  <si>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</si>
  <si>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</si>
  <si>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</si>
  <si>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</si>
  <si>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</si>
  <si>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</si>
  <si>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</si>
  <si>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</si>
  <si>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</si>
  <si>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</si>
  <si>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</si>
  <si>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</si>
  <si>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</si>
  <si>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</si>
  <si>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</si>
  <si>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</si>
  <si>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</si>
  <si>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</si>
  <si>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</si>
  <si>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</si>
  <si>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</si>
  <si>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</si>
  <si>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</si>
  <si>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</si>
  <si>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</si>
  <si>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</si>
  <si>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</si>
  <si>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</si>
  <si>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</si>
  <si>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</si>
  <si>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</si>
  <si>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</si>
  <si>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</si>
  <si>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</si>
  <si>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</si>
  <si>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</si>
  <si>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</si>
  <si>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</si>
  <si>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</si>
  <si>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Unique ID</t>
  </si>
  <si>
    <t xml:space="preserve">Name</t>
  </si>
  <si>
    <t xml:space="preserve">Outline Level</t>
  </si>
  <si>
    <t xml:space="preserve">Task Mode</t>
  </si>
  <si>
    <t xml:space="preserve">Finish</t>
  </si>
  <si>
    <t xml:space="preserve">Unique ID Predecessors</t>
  </si>
  <si>
    <t xml:space="preserve">Constraint Type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</si>
  <si>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</si>
  <si>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</si>
  <si>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</si>
  <si>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</si>
  <si>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</si>
  <si>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</si>
  <si>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</si>
  <si>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</si>
  <si>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</si>
  <si>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</si>
  <si>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</si>
  <si>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</si>
  <si>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</si>
  <si>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</si>
  <si>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As Soon As Possible</t>
  </si>
  <si>
    <t xml:space="preserve">Green</t>
  </si>
  <si>
    <t xml:space="preserve">Risk</t>
  </si>
  <si>
    <t xml:space="preserve">Open</t>
  </si>
  <si>
    <t xml:space="preserve">Proposed</t>
  </si>
  <si>
    <t xml:space="preserve">Submitted</t>
  </si>
  <si>
    <t xml:space="preserve">SS</t>
  </si>
  <si>
    <t xml:space="preserve">Manual</t>
  </si>
  <si>
    <t xml:space="preserve">As Late As Possible</t>
  </si>
  <si>
    <t xml:space="preserve">Material</t>
  </si>
  <si>
    <t xml:space="preserve">Amber</t>
  </si>
  <si>
    <t xml:space="preserve">Assumption</t>
  </si>
  <si>
    <t xml:space="preserve">Approved</t>
  </si>
  <si>
    <t xml:space="preserve">Under Review</t>
  </si>
  <si>
    <t xml:space="preserve">FF</t>
  </si>
  <si>
    <t xml:space="preserve">Must Start On</t>
  </si>
  <si>
    <t xml:space="preserve">Red</t>
  </si>
  <si>
    <t xml:space="preserve">Issue</t>
  </si>
  <si>
    <t xml:space="preserve">Closed</t>
  </si>
  <si>
    <t xml:space="preserve">Rejected</t>
  </si>
  <si>
    <t xml:space="preserve">SF</t>
  </si>
  <si>
    <t xml:space="preserve">Must Finish On</t>
  </si>
  <si>
    <t xml:space="preserve">Dependency</t>
  </si>
  <si>
    <t xml:space="preserve">Superseded</t>
  </si>
  <si>
    <t xml:space="preserve">Start No Earlier Than</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</si>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</sst>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0.#"/>
    <numFmt numFmtId="175" formatCode="dd\-mmm"/>
    <numFmt numFmtId="176" formatCode="General"/>
    <numFmt numFmtId="177" formatCode="#,##0;;\-"/>
    <numFmt numFmtId="178" formatCode="0%;;\-"/>
    <numFmt numFmtId="179" formatCode="0.#;;\-"/>
    <numFmt numFmtId="180" formatCode="0.0"/>
    <numFmt numFmtId="181" formatCode="#,##0.0"/>
    <numFmt numFmtId="182" formatCode="d"/>
    <numFmt numFmtId="183"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6"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6"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4"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6"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2" fontId="33" fillId="4" borderId="0" xfId="0" applyFont="true" applyBorder="false" applyAlignment="true" applyProtection="false">
      <alignment horizontal="center" vertical="center"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83"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37300812"/>
        <c:axId val="58524334"/>
      </c:barChart>
      <c:catAx>
        <c:axId val="373008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524334"/>
        <c:crosses val="autoZero"/>
        <c:auto val="1"/>
        <c:lblAlgn val="ctr"/>
        <c:lblOffset val="100"/>
        <c:noMultiLvlLbl val="0"/>
      </c:catAx>
      <c:valAx>
        <c:axId val="5852433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3008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0918209"/>
        <c:axId val="85725141"/>
      </c:barChart>
      <c:catAx>
        <c:axId val="809182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25141"/>
        <c:crosses val="autoZero"/>
        <c:auto val="1"/>
        <c:lblAlgn val="ctr"/>
        <c:lblOffset val="100"/>
        <c:noMultiLvlLbl val="0"/>
      </c:catAx>
      <c:valAx>
        <c:axId val="8572514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182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55401292"/>
        <c:axId val="2205412"/>
      </c:barChart>
      <c:catAx>
        <c:axId val="554012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05412"/>
        <c:crosses val="autoZero"/>
        <c:auto val="1"/>
        <c:lblAlgn val="ctr"/>
        <c:lblOffset val="100"/>
        <c:noMultiLvlLbl val="0"/>
      </c:catAx>
      <c:valAx>
        <c:axId val="220541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4012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51351138"/>
        <c:axId val="61507914"/>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51351138"/>
        <c:axId val="61507914"/>
      </c:lineChart>
      <c:catAx>
        <c:axId val="51351138"/>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507914"/>
        <c:crosses val="autoZero"/>
        <c:auto val="1"/>
        <c:lblAlgn val="ctr"/>
        <c:lblOffset val="100"/>
        <c:noMultiLvlLbl val="0"/>
      </c:catAx>
      <c:valAx>
        <c:axId val="6150791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3511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82535449"/>
        <c:axId val="57087800"/>
      </c:lineChart>
      <c:catAx>
        <c:axId val="825354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087800"/>
        <c:crosses val="autoZero"/>
        <c:auto val="1"/>
        <c:lblAlgn val="ctr"/>
        <c:lblOffset val="100"/>
        <c:noMultiLvlLbl val="0"/>
      </c:catAx>
      <c:valAx>
        <c:axId val="5708780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5354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30348374"/>
        <c:axId val="50265747"/>
      </c:barChart>
      <c:catAx>
        <c:axId val="303483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65747"/>
        <c:crosses val="autoZero"/>
        <c:auto val="1"/>
        <c:lblAlgn val="ctr"/>
        <c:lblOffset val="100"/>
        <c:noMultiLvlLbl val="0"/>
      </c:catAx>
      <c:valAx>
        <c:axId val="5026574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3483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62581384"/>
        <c:axId val="23935789"/>
      </c:lineChart>
      <c:catAx>
        <c:axId val="625813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935789"/>
        <c:crosses val="autoZero"/>
        <c:auto val="1"/>
        <c:lblAlgn val="ctr"/>
        <c:lblOffset val="100"/>
        <c:noMultiLvlLbl val="0"/>
      </c:catAx>
      <c:valAx>
        <c:axId val="2393578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813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4133975"/>
        <c:axId val="14523142"/>
      </c:lineChart>
      <c:catAx>
        <c:axId val="413397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23142"/>
        <c:crosses val="autoZero"/>
        <c:auto val="1"/>
        <c:lblAlgn val="ctr"/>
        <c:lblOffset val="100"/>
        <c:noMultiLvlLbl val="0"/>
      </c:catAx>
      <c:valAx>
        <c:axId val="14523142"/>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339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59386454"/>
        <c:axId val="98538545"/>
      </c:lineChart>
      <c:catAx>
        <c:axId val="5938645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38545"/>
        <c:crosses val="autoZero"/>
        <c:auto val="1"/>
        <c:lblAlgn val="ctr"/>
        <c:lblOffset val="100"/>
        <c:noMultiLvlLbl val="0"/>
      </c:catAx>
      <c:valAx>
        <c:axId val="9853854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864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84648211"/>
        <c:axId val="18627431"/>
      </c:lineChart>
      <c:catAx>
        <c:axId val="8464821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627431"/>
        <c:crosses val="autoZero"/>
        <c:auto val="1"/>
        <c:lblAlgn val="ctr"/>
        <c:lblOffset val="100"/>
        <c:noMultiLvlLbl val="0"/>
      </c:catAx>
      <c:valAx>
        <c:axId val="18627431"/>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6482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62627266"/>
        <c:axId val="56375611"/>
      </c:lineChart>
      <c:catAx>
        <c:axId val="6262726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75611"/>
        <c:crosses val="autoZero"/>
        <c:auto val="1"/>
        <c:lblAlgn val="ctr"/>
        <c:lblOffset val="100"/>
        <c:noMultiLvlLbl val="0"/>
      </c:catAx>
      <c:valAx>
        <c:axId val="5637561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272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U1:U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E1:E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S1:S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K1:K3"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M1:M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Q1:Q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O1:O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I1:I4" headerRowCount="1">
  <tableColumns count="1">
    <tableColumn id="1" name="Resource Type"/>
  </tableColumns>
  <tableStyleInfo name="TableStyleLight1" showRowStripes="0"/>
</table>
</file>

<file path=xl/tables/table24.xml><?xml version="1.0" encoding="utf-8"?>
<table xmlns="http://schemas.openxmlformats.org/spreadsheetml/2006/main" id="24" name="ListYesNo" displayName="ListYesNo" ref="G1:G3" headerRowCount="1">
  <tableColumns count="1">
    <tableColumn id="1" name="Yes / No"/>
  </tableColumns>
  <tableStyleInfo name="TableStyleLight1" showRowStripes="0"/>
</table>
</file>

<file path=xl/tables/table25.xml><?xml version="1.0" encoding="utf-8"?>
<table xmlns="http://schemas.openxmlformats.org/spreadsheetml/2006/main" id="25"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6.xml><?xml version="1.0" encoding="utf-8"?>
<table xmlns="http://schemas.openxmlformats.org/spreadsheetml/2006/main" id="26"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7.xml><?xml version="1.0" encoding="utf-8"?>
<table xmlns="http://schemas.openxmlformats.org/spreadsheetml/2006/main" id="27"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IF(IFERROR(INDEX(tsk_Name,(ROW()-ROW(MSPTasks[[#Headers],[ID]])))="",TRUE()),"",INDEX(tsk_ResourceNames,(ROW()-ROW(MSPTasks[[#Headers],[ID]])))&amp;"")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calculatedColumnFormula>
    </tableColumn>
    <tableColumn id="22" name="Constraint Date">
      <calculatedColumnFormula>IF(IFERROR(INDEX(tsk_Name,(ROW()-ROW(MSPTasks[[#Headers],[ID]])))="",TRUE()),"",IF(OR(INDEX(tsk_IsSummary,(ROW()-ROW(MSPTasks[[#Headers],[ID]]))),INDEX(tsk_Mode,(ROW()-ROW(MSPTasks[[#Headers],[ID]])))="Manual"),"",IF(N(INDEX(tsk_ConstraintCode,(ROW()-ROW(MSPTasks[[#Headers],[ID]]))))&lt;2,"",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8.xml><?xml version="1.0" encoding="utf-8"?>
<table xmlns="http://schemas.openxmlformats.org/spreadsheetml/2006/main" id="28"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9.xml><?xml version="1.0" encoding="utf-8"?>
<table xmlns="http://schemas.openxmlformats.org/spreadsheetml/2006/main" id="29"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30.xml><?xml version="1.0" encoding="utf-8"?>
<table xmlns="http://schemas.openxmlformats.org/spreadsheetml/2006/main" id="30"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1.xml><?xml version="1.0" encoding="utf-8"?>
<table xmlns="http://schemas.openxmlformats.org/spreadsheetml/2006/main" id="31"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2.xml><?xml version="1.0" encoding="utf-8"?>
<table xmlns="http://schemas.openxmlformats.org/spreadsheetml/2006/main" id="32"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3.xml><?xml version="1.0" encoding="utf-8"?>
<table xmlns="http://schemas.openxmlformats.org/spreadsheetml/2006/main" id="33"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4.xml><?xml version="1.0" encoding="utf-8"?>
<table xmlns="http://schemas.openxmlformats.org/spreadsheetml/2006/main" id="34"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5.xml><?xml version="1.0" encoding="utf-8"?>
<table xmlns="http://schemas.openxmlformats.org/spreadsheetml/2006/main" id="35"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6.xml><?xml version="1.0" encoding="utf-8"?>
<table xmlns="http://schemas.openxmlformats.org/spreadsheetml/2006/main" id="36"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7.xml><?xml version="1.0" encoding="utf-8"?>
<table xmlns="http://schemas.openxmlformats.org/spreadsheetml/2006/main" id="37"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8.xml><?xml version="1.0" encoding="utf-8"?>
<table xmlns="http://schemas.openxmlformats.org/spreadsheetml/2006/main" id="38"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9.xml><?xml version="1.0" encoding="utf-8"?>
<table xmlns="http://schemas.openxmlformats.org/spreadsheetml/2006/main" id="39"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0.xml><?xml version="1.0" encoding="utf-8"?>
<table xmlns="http://schemas.openxmlformats.org/spreadsheetml/2006/main" id="40" name="StatusNotes" displayName="StatusNotes" ref="B55:C61" headerRowCount="1">
  <tableColumns count="2">
    <tableColumn id="1" name="Section"/>
    <tableColumn id="2" name="Notes"/>
  </tableColumns>
  <tableStyleInfo name="TableStyleLight1" showRowStripes="0"/>
</table>
</file>

<file path=xl/tables/table41.xml><?xml version="1.0" encoding="utf-8"?>
<table xmlns="http://schemas.openxmlformats.org/spreadsheetml/2006/main" id="41"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2.xml><?xml version="1.0" encoding="utf-8"?>
<table xmlns="http://schemas.openxmlformats.org/spreadsheetml/2006/main" id="42"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3.xml><?xml version="1.0" encoding="utf-8"?>
<table xmlns="http://schemas.openxmlformats.org/spreadsheetml/2006/main" id="43" name="Tasks" displayName="Tasks" ref="A5:EU205" headerRowCount="1">
  <autoFilter ref="A5:EU205"/>
  <tableColumns count="151">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Pred3 UID"/>
    <tableColumn id="15" name="Pred3 Type"/>
    <tableColumn id="16" name="Pred3 Lag"/>
    <tableColumn id="17" name="Pred4 UID"/>
    <tableColumn id="18" name="Pred4 Type"/>
    <tableColumn id="19" name="Pred4 Lag"/>
    <tableColumn id="20" name="Constraint"/>
    <tableColumn id="21" name="Constraint Date"/>
    <tableColumn id="22" name="Deadline"/>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Actual Start"/>
    <tableColumn id="26" name="Actual Finish"/>
    <tableColumn id="27"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8"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9"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0"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1" name="Late Start">
      <calculatedColumnFormula>IF(Tasks[[#This Row],[Task Name]]="","",IF(Tasks[[#This Row],[_IsSummary]],MIN(INDEX(Tasks[_LeafLateStart],Tasks[[#This Row],[_Row]]+1):INDEX(Tasks[_LeafLateStart],Tasks[[#This Row],[_Row]]+Tasks[[#This Row],[_Descendants]])),Tasks[[#This Row],[_LeafLateStart]]))</calculatedColumnFormula>
    </tableColumn>
    <tableColumn id="32"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3"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4"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5"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6"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7"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8" name="% Complete"/>
    <tableColumn id="39"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0"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1" name="Resource"/>
    <tableColumn id="42" name="Units"/>
    <tableColumn id="43"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4"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45" name="Work">
      <calculatedColumnFormula>IF(Tasks[[#This Row],[Task Name]]="","",IF(Tasks[[#This Row],[_IsSummary]],SUM(INDEX(Tasks[_LeafTotalWork],Tasks[[#This Row],[_Row]]+1):INDEX(Tasks[_LeafTotalWork],Tasks[[#This Row],[_Row]]+Tasks[[#This Row],[_Descendants]])),Tasks[[#This Row],[_LeafTotalWork]]))</calculatedColumnFormula>
    </tableColumn>
    <tableColumn id="46" name="Cost">
      <calculatedColumnFormula>IF(Tasks[[#This Row],[Task Name]]="","",IF(Tasks[[#This Row],[_IsSummary]],SUM(INDEX(Tasks[_LeafTotalCost],Tasks[[#This Row],[_Row]]+1):INDEX(Tasks[_LeafTotalCost],Tasks[[#This Row],[_Row]]+Tasks[[#This Row],[_Descendants]])),Tasks[[#This Row],[_LeafTotalCost]]))</calculatedColumnFormula>
    </tableColumn>
    <tableColumn id="47" name="Actual Cost"/>
    <tableColumn id="48" name="Planned Sprint"/>
    <tableColumn id="49"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0" name="Story Points"/>
    <tableColumn id="51"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2" name="Notes"/>
    <tableColumn id="53" name="BL Source Start">
      <calculatedColumnFormula>IF(Tasks[[#This Row],[Task Name]]="","",Tasks[[#This Row],[Forecast Start]])</calculatedColumnFormula>
    </tableColumn>
    <tableColumn id="54" name="BL Source Finish">
      <calculatedColumnFormula>IF(Tasks[[#This Row],[Task Name]]="","",Tasks[[#This Row],[Forecast Finish]])</calculatedColumnFormula>
    </tableColumn>
    <tableColumn id="55" name="BL Source Duration">
      <calculatedColumnFormula>IF(Tasks[[#This Row],[Task Name]]="","",IF(Tasks[[#This Row],[_IsSummary]],NETWORKDAYS.INTL(Tasks[[#This Row],[Forecast Start]],Tasks[[#This Row],[Forecast Finish]],WorkWeek,Holidays),N(Tasks[[#This Row],[Duration]])))</calculatedColumnFormula>
    </tableColumn>
    <tableColumn id="56" name="BL Source Work">
      <calculatedColumnFormula>IF(Tasks[[#This Row],[Task Name]]="","",Tasks[[#This Row],[Work]])</calculatedColumnFormula>
    </tableColumn>
    <tableColumn id="57" name="BL Source Cost">
      <calculatedColumnFormula>IF(Tasks[[#This Row],[Task Name]]="","",Tasks[[#This Row],[Cost]])</calculatedColumnFormula>
    </tableColumn>
    <tableColumn id="58" name="Baseline Start"/>
    <tableColumn id="59" name="Baseline Finish"/>
    <tableColumn id="60" name="Baseline Duration"/>
    <tableColumn id="61" name="Baseline Work"/>
    <tableColumn id="62" name="Baseline Cost"/>
    <tableColumn id="63" name="Duration Var">
      <calculatedColumnFormula>IF(OR(Tasks[[#This Row],[Task Name]]="",Tasks[[#This Row],[Baseline Duration]]=""),"",Tasks[[#This Row],[BL Source Duration]]-N(Tasks[[#This Row],[Baseline Duration]]))</calculatedColumnFormula>
    </tableColumn>
    <tableColumn id="64" name="Work Var">
      <calculatedColumnFormula>IF(OR(Tasks[[#This Row],[Task Name]]="",Tasks[[#This Row],[Baseline Work]]=""),"",Tasks[[#This Row],[Work]]-N(Tasks[[#This Row],[Baseline Work]]))</calculatedColumnFormula>
    </tableColumn>
    <tableColumn id="65" name="Cost Var">
      <calculatedColumnFormula>IF(OR(Tasks[[#This Row],[Task Name]]="",Tasks[[#This Row],[Baseline Cost]]=""),"",Tasks[[#This Row],[Cost]]-N(Tasks[[#This Row],[Baseline Cost]]))</calculatedColumnFormula>
    </tableColumn>
    <tableColumn id="66" name="Budget">
      <calculatedColumnFormula>IF(Tasks[[#This Row],[Task Name]]="","",IF(Tasks[[#This Row],[_IsSummary]],SUM(INDEX(Tasks[_LeafBudget],Tasks[[#This Row],[_Row]]+1):INDEX(Tasks[_LeafBudget],Tasks[[#This Row],[_Row]]+Tasks[[#This Row],[_Descendants]])),Tasks[[#This Row],[_LeafBudget]]))</calculatedColumnFormula>
    </tableColumn>
    <tableColumn id="67" name="PV">
      <calculatedColumnFormula>IF(Tasks[[#This Row],[Task Name]]="","",IF(Tasks[[#This Row],[_IsSummary]],SUM(INDEX(Tasks[_LeafPV],Tasks[[#This Row],[_Row]]+1):INDEX(Tasks[_LeafPV],Tasks[[#This Row],[_Row]]+Tasks[[#This Row],[_Descendants]])),Tasks[[#This Row],[_LeafPV]]))</calculatedColumnFormula>
    </tableColumn>
    <tableColumn id="68" name="EV">
      <calculatedColumnFormula>IF(Tasks[[#This Row],[Task Name]]="","",IF(Tasks[[#This Row],[_IsSummary]],SUM(INDEX(Tasks[_LeafEV],Tasks[[#This Row],[_Row]]+1):INDEX(Tasks[_LeafEV],Tasks[[#This Row],[_Row]]+Tasks[[#This Row],[_Descendants]])),Tasks[[#This Row],[_LeafEV]]))</calculatedColumnFormula>
    </tableColumn>
    <tableColumn id="69" name="AC">
      <calculatedColumnFormula>IF(Tasks[[#This Row],[Task Name]]="","",IF(Tasks[[#This Row],[_IsSummary]],SUM(INDEX(Tasks[_LeafAC],Tasks[[#This Row],[_Row]]+1):INDEX(Tasks[_LeafAC],Tasks[[#This Row],[_Row]]+Tasks[[#This Row],[_Descendants]])),Tasks[[#This Row],[_LeafAC]]))</calculatedColumnFormula>
    </tableColumn>
    <tableColumn id="70" name="_Level">
      <calculatedColumnFormula>IF(Tasks[[#This Row],[Task Name]]="","",MAX(1,N(Tasks[[#This Row],[Level]])))</calculatedColumnFormula>
    </tableColumn>
    <tableColumn id="71" name="_Row">
      <calculatedColumnFormula>ROW()-ROW(Tasks[[#Headers],[ID]])</calculatedColumnFormula>
    </tableColumn>
    <tableColumn id="72" name="_ParentRow">
      <calculatedColumnFormula>IF(OR(Tasks[[#This Row],[Task Name]]="",Tasks[[#This Row],[_Level]]&lt;=1),0,IFERROR(LOOKUP(2,1/(Tasks[[#Headers],[_Level]]:Tasks[[#This Row],[_Level]]=Tasks[[#This Row],[_Level]]-1),ROW(Tasks[[#Headers],[_Level]]:Tasks[[#This Row],[_Level]])),0))</calculatedColumnFormula>
    </tableColumn>
    <tableColumn id="73" name="_NextLevel">
      <calculatedColumnFormula>IFERROR(N(INDEX(Tasks[_Level],Tasks[[#This Row],[_Row]]+1)),0)</calculatedColumnFormula>
    </tableColumn>
    <tableColumn id="74" name="_IsSummary">
      <calculatedColumnFormula>AND(Tasks[[#This Row],[Task Name]]&lt;&gt;"",Tasks[[#This Row],[_NextLevel]]&gt;Tasks[[#This Row],[_Level]])</calculatedColumnFormula>
    </tableColumn>
    <tableColumn id="75" name="_Descendants">
      <calculatedColumnFormula>IF(Tasks[[#This Row],[_IsSummary]],COUNTIF(Tasks[WBS],Tasks[[#This Row],[WBS]]&amp;".*"),0)</calculatedColumnFormula>
    </tableColumn>
    <tableColumn id="76" name="_IsLeaf">
      <calculatedColumnFormula>IF(AND(Tasks[[#This Row],[Task Name]]&lt;&gt;"",NOT(Tasks[[#This Row],[_IsSummary]])),1,0)</calculatedColumnFormula>
    </tableColumn>
    <tableColumn id="77" name="_Pred1Pos">
      <calculatedColumnFormula>IF(N(Tasks[[#This Row],[Pred1 UID]])=0,0,IFERROR(MATCH(Tasks[[#This Row],[Pred1 UID]],Tasks[UID],0),-1))</calculatedColumnFormula>
    </tableColumn>
    <tableColumn id="78" name="_Pred2Pos">
      <calculatedColumnFormula>IF(N(Tasks[[#This Row],[Pred2 UID]])=0,0,IFERROR(MATCH(Tasks[[#This Row],[Pred2 UID]],Tasks[UID],0),-1))</calculatedColumnFormula>
    </tableColumn>
    <tableColumn id="79" name="_Pred3Pos">
      <calculatedColumnFormula>IF(N(Tasks[[#This Row],[Pred3 UID]])=0,0,IFERROR(MATCH(Tasks[[#This Row],[Pred3 UID]],Tasks[UID],0),-1))</calculatedColumnFormula>
    </tableColumn>
    <tableColumn id="80" name="_Pred4Pos">
      <calculatedColumnFormula>IF(N(Tasks[[#This Row],[Pred4 UID]])=0,0,IFERROR(MATCH(Tasks[[#This Row],[Pred4 UID]],Tasks[UID],0),-1))</calculatedColumnFormula>
    </tableColumn>
    <tableColumn id="8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2"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3" name="_ConstraintLow">
      <calculatedColumnFormula>IF(OR(Tasks[[#This Row],[_ConstraintCode]]=2,Tasks[[#This Row],[_ConstraintCode]]=3,Tasks[[#This Row],[_ConstraintCode]]=4,Tasks[[#This Row],[_ConstraintCode]]=6),Tasks[[#This Row],[_ConstraintStart]],0)</calculatedColumnFormula>
    </tableColumn>
    <tableColumn id="84" name="_ConstraintHigh">
      <calculatedColumnFormula>IF(OR(Tasks[[#This Row],[_ConstraintCode]]=2,Tasks[[#This Row],[_ConstraintCode]]=3,Tasks[[#This Row],[_ConstraintCode]]=5,Tasks[[#This Row],[_ConstraintCode]]=7),Tasks[[#This Row],[_ConstraintStart]],2958465)</calculatedColumnFormula>
    </tableColumn>
    <tableColumn id="8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6" name="_LeafCalcFinish">
      <calculatedColumnFormula>IF(NOT(Tasks[[#This Row],[_IsLeaf]]=1),"",IF(N(Tasks[[#This Row],[Duration]])&lt;=0,Tasks[[#This Row],[_LeafCalcStart]],WORKDAY.INTL(Tasks[[#This Row],[_LeafCalcStart]],Tasks[[#This Row],[Duration]]-1,WorkWeek,Holidays)))</calculatedColumnFormula>
    </tableColumn>
    <tableColumn id="8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8"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89" name="_LeafProgress">
      <calculatedColumnFormula>IF(NOT(Tasks[[#This Row],[_IsLeaf]]=1),0,IF(N(Tasks[[#This Row],[Actual Finish]])&gt;0,1,MIN(1,N(Tasks[[#This Row],[% Complete]]))))</calculatedColumnFormula>
    </tableColumn>
    <tableColumn id="90" name="_LeafWork">
      <calculatedColumnFormula>IF(OR(NOT(Tasks[[#This Row],[_IsLeaf]]=1),Tasks[[#This Row],[Resource]]=""),0,N(Tasks[[#This Row],[Duration]])*HoursPerDay*IF(Tasks[[#This Row],[Units]]="",DefaultUnits,Tasks[[#This Row],[Units]]))</calculatedColumnFormula>
    </tableColumn>
    <tableColumn id="91" name="_LeafCost">
      <calculatedColumnFormula>IF(Tasks[[#This Row],[_LeafWork]]=0,0,Tasks[[#This Row],[_LeafWork]]*IFERROR(INDEX(res_Rate,MATCH(Tasks[[#This Row],[Resource]],res_Name,0)),0))</calculatedColumnFormula>
    </tableColumn>
    <tableColumn id="92" name="_LeafTotalWork">
      <calculatedColumnFormula>Tasks[[#This Row],[_LeafWork]]+IF(Tasks[[#This Row],[_IsLeaf]]=1,SUMIFS(asg_Work,asg_TaskUID,Tasks[[#This Row],[UID]],asg_Valid,1),0)</calculatedColumnFormula>
    </tableColumn>
    <tableColumn id="93" name="_LeafTotalCost">
      <calculatedColumnFormula>Tasks[[#This Row],[_LeafCost]]+IF(Tasks[[#This Row],[_IsLeaf]]=1,SUMIFS(asg_Cost,asg_TaskUID,Tasks[[#This Row],[UID]],asg_Valid,1),0)</calculatedColumnFormula>
    </tableColumn>
    <tableColumn id="94" name="_ResourceAC">
      <calculatedColumnFormula>IF(Tasks[[#This Row],[_LeafTotalCost]]=0,Tasks[[#This Row],[_LeafAC]],Tasks[[#This Row],[_LeafAC]]*Tasks[[#This Row],[_LeafCost]]/Tasks[[#This Row],[_LeafTotalCost]])</calculatedColumnFormula>
    </tableColumn>
    <tableColumn id="95"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6"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7"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8"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9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1"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2"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3"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4"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5"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6" name="_LeafLateStart">
      <calculatedColumnFormula>IF(NOT(Tasks[[#This Row],[_IsLeaf]]=1),"",IF(N(Tasks[[#This Row],[Duration]])&lt;=0,Tasks[[#This Row],[_LeafLateFinish]],WORKDAY.INTL(Tasks[[#This Row],[_LeafLateFinish]],-(Tasks[[#This Row],[Duration]]-1),WorkWeek,Holidays)))</calculatedColumnFormula>
    </tableColumn>
    <tableColumn id="107"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8" name="_LeafCritical">
      <calculatedColumnFormula>AND(Tasks[[#This Row],[_IsLeaf]]=1,Tasks[[#This Row],[_LeafProgress]]&lt;1,N(Tasks[[#This Row],[_LeafTotalSlack]])&lt;=CriticalSlackDays)</calculatedColumnFormula>
    </tableColumn>
    <tableColumn id="109" name="_AlapShift">
      <calculatedColumnFormula>IF(AND(Tasks[[#This Row],[_IsLeaf]]=1,Tasks[[#This Row],[_ConstraintCode]]=1,Tasks[[#This Row],[Mode]]&lt;&gt;"Manual",N(Tasks[[#This Row],[Actual Start]])=0),MAX(0,N(Tasks[[#This Row],[Free Slack]])),0)</calculatedColumnFormula>
    </tableColumn>
    <tableColumn id="110" name="_ShownCalcStart">
      <calculatedColumnFormula>IF(NOT(Tasks[[#This Row],[_IsLeaf]]=1),"",IF(Tasks[[#This Row],[_AlapShift]]=0,Tasks[[#This Row],[_LeafCalcStart]],WORKDAY.INTL(Tasks[[#This Row],[_LeafCalcStart]],Tasks[[#This Row],[_AlapShift]],WorkWeek,Holidays)))</calculatedColumnFormula>
    </tableColumn>
    <tableColumn id="111" name="_ShownCalcFinish">
      <calculatedColumnFormula>IF(NOT(Tasks[[#This Row],[_IsLeaf]]=1),"",IF(Tasks[[#This Row],[_AlapShift]]=0,Tasks[[#This Row],[_LeafCalcFinish]],WORKDAY.INTL(Tasks[[#This Row],[_LeafCalcFinish]],Tasks[[#This Row],[_AlapShift]],WorkWeek,Holidays)))</calculatedColumnFormula>
    </tableColumn>
    <tableColumn id="112" name="_ShownFcstStart">
      <calculatedColumnFormula>IF(NOT(Tasks[[#This Row],[_IsLeaf]]=1),"",IF(Tasks[[#This Row],[_AlapShift]]=0,Tasks[[#This Row],[_LeafFcstStart]],WORKDAY.INTL(Tasks[[#This Row],[_LeafFcstStart]],Tasks[[#This Row],[_AlapShift]],WorkWeek,Holidays)))</calculatedColumnFormula>
    </tableColumn>
    <tableColumn id="113" name="_ShownFcstFinish">
      <calculatedColumnFormula>IF(NOT(Tasks[[#This Row],[_IsLeaf]]=1),"",IF(Tasks[[#This Row],[_AlapShift]]=0,Tasks[[#This Row],[_LeafFcstFinish]],WORKDAY.INTL(Tasks[[#This Row],[_LeafFcstFinish]],Tasks[[#This Row],[_AlapShift]],WorkWeek,Holidays)))</calculatedColumnFormula>
    </tableColumn>
    <tableColumn id="114"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5"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6"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7"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8"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19"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0"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1"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2"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3"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6"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7"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8" name="_StartWorkday">
      <calculatedColumnFormula>IF(AND(Tasks[[#This Row],[_IsLeaf]]=1,Tasks[[#This Row],[_LeafTotalWork]]&gt;0),NETWORKDAYS.INTL(ProjectStart,Tasks[[#This Row],[_ShownFcstStart]],WorkWeek,Holidays),0)</calculatedColumnFormula>
    </tableColumn>
    <tableColumn id="129" name="_FinishWorkday">
      <calculatedColumnFormula>IF(AND(Tasks[[#This Row],[_IsLeaf]]=1,Tasks[[#This Row],[_LeafTotalWork]]&gt;0),MAX(Tasks[[#This Row],[_StartWorkday]],NETWORKDAYS.INTL(ProjectStart,Tasks[[#This Row],[_ShownFcstFinish]],WorkWeek,Holidays)),0)</calculatedColumnFormula>
    </tableColumn>
    <tableColumn id="130" name="_WorkPerWorkday">
      <calculatedColumnFormula>IF(AND(Tasks[[#This Row],[_IsLeaf]]=1,Tasks[[#This Row],[_LeafTotalWork]]&gt;0),Tasks[[#This Row],[_LeafWork]]/(Tasks[[#This Row],[_FinishWorkday]]-Tasks[[#This Row],[_StartWorkday]]+1),0)</calculatedColumnFormula>
    </tableColumn>
    <tableColumn id="131" name="_WorkBeforeStart">
      <calculatedColumnFormula>Tasks[[#This Row],[_WorkPerWorkday]]*(Tasks[[#This Row],[_StartWorkday]]-1)</calculatedColumnFormula>
    </tableColumn>
    <tableColumn id="132" name="_WeightDur">
      <calculatedColumnFormula>IF(Tasks[[#This Row],[_IsLeaf]]=1,MAX(N(Tasks[[#This Row],[Duration]]),0.1),0)</calculatedColumnFormula>
    </tableColumn>
    <tableColumn id="133" name="_WeightDone">
      <calculatedColumnFormula>Tasks[[#This Row],[_WeightDur]]*Tasks[[#This Row],[_LeafProgress]]</calculatedColumnFormula>
    </tableColumn>
    <tableColumn id="134"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5" name="_MilestoneKey">
      <calculatedColumnFormula>IF(AND(Tasks[[#This Row],[_IsLeaf]]=1,N(Tasks[[#This Row],[Duration]])=0,Tasks[[#This Row],[_LeafProgress]]&lt;1),Tasks[[#This Row],[_ShownFcstFinish]]+Tasks[[#This Row],[_Row]]/100000,"")</calculatedColumnFormula>
    </tableColumn>
    <tableColumn id="136"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7" name="_LeafBudget">
      <calculatedColumnFormula>IF(NOT(Tasks[[#This Row],[_IsLeaf]]=1),0,IF(Tasks[[#This Row],[Baseline Cost]]="",Tasks[[#This Row],[_LeafTotalCost]],N(Tasks[[#This Row],[Baseline Cost]])))</calculatedColumnFormula>
    </tableColumn>
    <tableColumn id="138" name="_LeafPV">
      <calculatedColumnFormula>Tasks[[#This Row],[_LeafBudget]]*Tasks[[#This Row],[_PlannedPct]]</calculatedColumnFormula>
    </tableColumn>
    <tableColumn id="139" name="_LeafEV">
      <calculatedColumnFormula>Tasks[[#This Row],[_LeafBudget]]*Tasks[[#This Row],[_LeafProgress]]</calculatedColumnFormula>
    </tableColumn>
    <tableColumn id="140" name="_LeafAC">
      <calculatedColumnFormula>IF(NOT(Tasks[[#This Row],[_IsLeaf]]=1),0,IF(Tasks[[#This Row],[Actual Cost]]="",Tasks[[#This Row],[_LeafTotalCost]]*Tasks[[#This Row],[_LeafProgress]],N(Tasks[[#This Row],[Actual Cost]])))</calculatedColumnFormula>
    </tableColumn>
    <tableColumn id="141" name="_Phase">
      <calculatedColumnFormula>IF(Tasks[[#This Row],[Task Name]]="","",LEFT(Tasks[[#This Row],[WBS]],FIND(".",Tasks[[#This Row],[WBS]]&amp;".")-1))</calculatedColumnFormula>
    </tableColumn>
    <tableColumn id="142" name="_PhaseKey">
      <calculatedColumnFormula>IF(AND(Tasks[[#This Row],[Task Name]]&lt;&gt;"",Tasks[[#This Row],[_Level]]=1),Tasks[[#This Row],[_Row]],"")</calculatedColumnFormula>
    </tableColumn>
    <tableColumn id="143" name="_MilestoneOrder">
      <calculatedColumnFormula>IF(AND(Tasks[[#This Row],[_IsLeaf]]=1,N(Tasks[[#This Row],[Duration]])=0),Tasks[[#This Row],[Planned Finish]]+Tasks[[#This Row],[_Row]]/100000,"")</calculatedColumnFormula>
    </tableColumn>
    <tableColumn id="144" name="_LateKey">
      <calculatedColumnFormula>IF(AND(Tasks[[#This Row],[_IsLeaf]]=1,Tasks[[#This Row],[_LeafProgress]]&lt;1,OR(N(Tasks[[#This Row],[Finish Var]])&gt;0,Tasks[[#This Row],[Status]]="Late Start")),MAX(0,Tasks[[#This Row],[Finish Var]])+1-Tasks[[#This Row],[_Row]]/1000000,"")</calculatedColumnFormula>
    </tableColumn>
    <tableColumn id="14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7" name="_CriticalKey">
      <calculatedColumnFormula>IF(Tasks[[#This Row],[_LeafCritical]],Tasks[[#This Row],[_ShownFcstStart]]+Tasks[[#This Row],[_Row]]/100000,"")</calculatedColumnFormula>
    </tableColumn>
    <tableColumn id="148" name="_LeafWorkDone">
      <calculatedColumnFormula>Tasks[[#This Row],[_LeafWork]]*Tasks[[#This Row],[_LeafProgress]]</calculatedColumnFormula>
    </tableColumn>
    <tableColumn id="149" name="_DoneDate">
      <calculatedColumnFormula>IF(AND(Tasks[[#This Row],[_IsLeaf]]=1,Tasks[[#This Row],[_LeafProgress]]&gt;=1),IF(N(Tasks[[#This Row],[Actual Finish]])&gt;0,Tasks[[#This Row],[Actual Finish]],Tasks[[#This Row],[_ShownFcstFinish]]),"")</calculatedColumnFormula>
    </tableColumn>
    <tableColumn id="150" name="_LeafPoints">
      <calculatedColumnFormula>IF(Tasks[[#This Row],[_IsLeaf]]=1,N(Tasks[[#This Row],[Story Points]]),0)</calculatedColumnFormula>
    </tableColumn>
    <tableColumn id="151" name="_CurrentSprintKey">
      <calculatedColumnFormula>IF(AND(Tasks[[#This Row],[_IsLeaf]]=1,CurrentSprint&lt;&gt;"",Tasks[[#This Row],[Sprint]]=CurrentSprint),Tasks[[#This Row],[_Row]],"")</calculatedColumnFormula>
    </tableColumn>
  </tableColumns>
  <tableStyleInfo name="TableStyleLight1" showRowStripes="0"/>
</table>
</file>

<file path=xl/tables/table44.xml><?xml version="1.0" encoding="utf-8"?>
<table xmlns="http://schemas.openxmlformats.org/spreadsheetml/2006/main" id="44"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8.xml"/><Relationship Id="rId4" Type="http://schemas.openxmlformats.org/officeDocument/2006/relationships/table" Target="../tables/table4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9.xml"/><Relationship Id="rId7" Type="http://schemas.openxmlformats.org/officeDocument/2006/relationships/table" Target="../tables/table40.xml"/><Relationship Id="rId8" Type="http://schemas.openxmlformats.org/officeDocument/2006/relationships/table" Target="../tables/table41.xml"/><Relationship Id="rId9" Type="http://schemas.openxmlformats.org/officeDocument/2006/relationships/table" Target="../tables/table44.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5.xml"/><Relationship Id="rId7" Type="http://schemas.openxmlformats.org/officeDocument/2006/relationships/table" Target="../tables/table30.xml"/><Relationship Id="rId8" Type="http://schemas.openxmlformats.org/officeDocument/2006/relationships/table" Target="../tables/table38.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2.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5.xml"/><Relationship Id="rId6" Type="http://schemas.openxmlformats.org/officeDocument/2006/relationships/table" Target="../tables/table36.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3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4.xml"/><Relationship Id="rId3" Type="http://schemas.openxmlformats.org/officeDocument/2006/relationships/table" Target="../tables/table3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3.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2.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Relationship Id="rId3" Type="http://schemas.openxmlformats.org/officeDocument/2006/relationships/table" Target="../tables/table37.xml"/>
</Relationships>
</file>

<file path=xl/worksheets/_rels/sheet17.xml.rels><?xml version="1.0" encoding="UTF-8"?>
<Relationships xmlns="http://schemas.openxmlformats.org/package/2006/relationships"><Relationship Id="rId1" Type="http://schemas.openxmlformats.org/officeDocument/2006/relationships/table" Target="../tables/table10.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13.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Relationship Id="rId3" Type="http://schemas.openxmlformats.org/officeDocument/2006/relationships/table" Target="../tables/table27.xml"/>
</Relationships>
</file>

<file path=xl/worksheets/_rels/sheet20.xml.rels><?xml version="1.0" encoding="UTF-8"?>
<Relationships xmlns="http://schemas.openxmlformats.org/package/2006/relationships"><Relationship Id="rId1" Type="http://schemas.openxmlformats.org/officeDocument/2006/relationships/table" Target="../tables/table26.xml"/>
</Relationships>
</file>

<file path=xl/worksheets/_rels/sheet21.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35.0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46.25" hidden="false" customHeight="false" outlineLevel="0" collapsed="false">
      <c r="B38" s="4" t="s">
        <v>59</v>
      </c>
      <c r="C38" s="5" t="s">
        <v>60</v>
      </c>
    </row>
    <row r="39" customFormat="false" ht="23.85" hidden="false" customHeight="false" outlineLevel="0" collapsed="false">
      <c r="B39" s="4" t="s">
        <v>61</v>
      </c>
      <c r="C39" s="5" t="s">
        <v>62</v>
      </c>
    </row>
    <row r="40" customFormat="false" ht="57.45" hidden="false" customHeight="false" outlineLevel="0" collapsed="false">
      <c r="B40" s="4" t="s">
        <v>63</v>
      </c>
      <c r="C40" s="5" t="s">
        <v>64</v>
      </c>
    </row>
    <row r="41" customFormat="false" ht="35.05" hidden="false" customHeight="false" outlineLevel="0" collapsed="false">
      <c r="B41" s="4" t="s">
        <v>65</v>
      </c>
      <c r="C41" s="5" t="s">
        <v>66</v>
      </c>
    </row>
    <row r="43" customFormat="false" ht="15" hidden="false" customHeight="false" outlineLevel="0" collapsed="false">
      <c r="B43" s="2" t="s">
        <v>67</v>
      </c>
      <c r="C43" s="3"/>
    </row>
    <row r="44" customFormat="false" ht="46.25" hidden="false" customHeight="false" outlineLevel="0" collapsed="false">
      <c r="B44" s="4" t="s">
        <v>68</v>
      </c>
      <c r="C44" s="5" t="s">
        <v>69</v>
      </c>
    </row>
    <row r="45" customFormat="false" ht="35.05" hidden="false" customHeight="false" outlineLevel="0" collapsed="false">
      <c r="B45" s="4" t="s">
        <v>70</v>
      </c>
      <c r="C45" s="5" t="s">
        <v>71</v>
      </c>
    </row>
    <row r="46" customFormat="false" ht="15" hidden="false" customHeight="false" outlineLevel="0" collapsed="false">
      <c r="B46" s="4" t="s">
        <v>72</v>
      </c>
      <c r="C46" s="5" t="s">
        <v>73</v>
      </c>
    </row>
    <row r="47" customFormat="false" ht="23.85" hidden="false" customHeight="false" outlineLevel="0" collapsed="false">
      <c r="B47" s="4" t="s">
        <v>74</v>
      </c>
      <c r="C47" s="5" t="s">
        <v>75</v>
      </c>
    </row>
    <row r="48" customFormat="false" ht="46.25" hidden="false" customHeight="false" outlineLevel="0" collapsed="false">
      <c r="B48" s="4" t="s">
        <v>76</v>
      </c>
      <c r="C48" s="5" t="s">
        <v>77</v>
      </c>
    </row>
    <row r="49" customFormat="false" ht="35.05" hidden="false" customHeight="false" outlineLevel="0" collapsed="false">
      <c r="B49" s="4" t="s">
        <v>78</v>
      </c>
      <c r="C49" s="5" t="s">
        <v>79</v>
      </c>
    </row>
    <row r="50" customFormat="false" ht="23.85" hidden="false" customHeight="false" outlineLevel="0" collapsed="false">
      <c r="B50" s="4" t="s">
        <v>80</v>
      </c>
      <c r="C50" s="5" t="s">
        <v>81</v>
      </c>
    </row>
    <row r="51" customFormat="false" ht="23.85" hidden="false" customHeight="false" outlineLevel="0" collapsed="false">
      <c r="B51" s="4" t="s">
        <v>82</v>
      </c>
      <c r="C51" s="5" t="s">
        <v>83</v>
      </c>
    </row>
    <row r="53" customFormat="false" ht="15" hidden="false" customHeight="false" outlineLevel="0" collapsed="false">
      <c r="B53" s="2" t="s">
        <v>84</v>
      </c>
      <c r="C53" s="3"/>
    </row>
    <row r="54" customFormat="false" ht="46.25" hidden="false" customHeight="false" outlineLevel="0" collapsed="false">
      <c r="B54" s="4" t="s">
        <v>85</v>
      </c>
      <c r="C54" s="5" t="s">
        <v>86</v>
      </c>
    </row>
    <row r="55" customFormat="false" ht="57.45" hidden="false" customHeight="false" outlineLevel="0" collapsed="false">
      <c r="B55" s="4" t="s">
        <v>87</v>
      </c>
      <c r="C55" s="5" t="s">
        <v>88</v>
      </c>
    </row>
    <row r="56" customFormat="false" ht="23.85" hidden="false" customHeight="false" outlineLevel="0" collapsed="false">
      <c r="B56" s="4" t="s">
        <v>89</v>
      </c>
      <c r="C56" s="5" t="s">
        <v>90</v>
      </c>
    </row>
    <row r="57" customFormat="false" ht="15" hidden="false" customHeight="false" outlineLevel="0" collapsed="false">
      <c r="B57" s="4" t="s">
        <v>91</v>
      </c>
      <c r="C57" s="5" t="s">
        <v>92</v>
      </c>
    </row>
    <row r="58" customFormat="false" ht="57.45" hidden="false" customHeight="false" outlineLevel="0" collapsed="false">
      <c r="B58" s="4" t="s">
        <v>93</v>
      </c>
      <c r="C58" s="5"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95</v>
      </c>
      <c r="C4" s="9" t="s">
        <v>96</v>
      </c>
      <c r="E4" s="9" t="s">
        <v>97</v>
      </c>
      <c r="F4" s="9" t="s">
        <v>98</v>
      </c>
    </row>
    <row r="5" customFormat="false" ht="15" hidden="false" customHeight="false" outlineLevel="0" collapsed="false">
      <c r="B5" s="10" t="s">
        <v>99</v>
      </c>
      <c r="C5" s="11" t="n">
        <f aca="false">MIN(tsk_PlanStart)</f>
        <v>0</v>
      </c>
      <c r="E5" s="12" t="s">
        <v>100</v>
      </c>
      <c r="F5" s="10" t="n">
        <f aca="false">COUNTIFS(tsk_Status,StatusSummary[[#This Row],[Status]],tsk_IsLeaf,1)</f>
        <v>0</v>
      </c>
    </row>
    <row r="6" customFormat="false" ht="15" hidden="false" customHeight="false" outlineLevel="0" collapsed="false">
      <c r="B6" s="10" t="s">
        <v>101</v>
      </c>
      <c r="C6" s="11" t="n">
        <f aca="false">MAX(tsk_PlanFinish)</f>
        <v>0</v>
      </c>
      <c r="E6" s="13" t="s">
        <v>102</v>
      </c>
      <c r="F6" s="10" t="n">
        <f aca="false">COUNTIFS(tsk_Status,StatusSummary[[#This Row],[Status]],tsk_IsLeaf,1)</f>
        <v>0</v>
      </c>
    </row>
    <row r="7" customFormat="false" ht="15" hidden="false" customHeight="false" outlineLevel="0" collapsed="false">
      <c r="B7" s="10" t="s">
        <v>103</v>
      </c>
      <c r="C7" s="11" t="n">
        <f aca="false">MAX(tsk_FcFinish)</f>
        <v>0</v>
      </c>
      <c r="E7" s="14" t="s">
        <v>104</v>
      </c>
      <c r="F7" s="10" t="n">
        <f aca="false">COUNTIFS(tsk_Status,StatusSummary[[#This Row],[Status]],tsk_IsLeaf,1)</f>
        <v>0</v>
      </c>
    </row>
    <row r="8" customFormat="false" ht="15" hidden="false" customHeight="false" outlineLevel="0" collapsed="false">
      <c r="B8" s="10" t="s">
        <v>105</v>
      </c>
      <c r="C8" s="15" t="n">
        <f aca="false">FinishVarianceDays</f>
        <v>-1</v>
      </c>
      <c r="E8" s="16" t="s">
        <v>106</v>
      </c>
      <c r="F8" s="10" t="n">
        <f aca="false">COUNTIFS(tsk_Status,StatusSummary[[#This Row],[Status]],tsk_IsLeaf,1)</f>
        <v>0</v>
      </c>
    </row>
    <row r="9" customFormat="false" ht="15" hidden="false" customHeight="false" outlineLevel="0" collapsed="false">
      <c r="B9" s="10" t="s">
        <v>107</v>
      </c>
      <c r="C9" s="17" t="n">
        <f aca="false">IFERROR(SUM(tsk_WtDone)/SUM(tsk_WtDur),0)</f>
        <v>0</v>
      </c>
      <c r="E9" s="18" t="s">
        <v>108</v>
      </c>
      <c r="F9" s="10" t="n">
        <f aca="false">COUNTIFS(tsk_Status,StatusSummary[[#This Row],[Status]],tsk_IsLeaf,1)</f>
        <v>0</v>
      </c>
    </row>
    <row r="10" customFormat="false" ht="15" hidden="false" customHeight="false" outlineLevel="0" collapsed="false">
      <c r="B10" s="10" t="s">
        <v>109</v>
      </c>
      <c r="C10" s="17" t="n">
        <f aca="false">IFERROR(SUMPRODUCT(tsk_WtDur,tsk_PlannedPct)/SUM(tsk_WtDur),0)</f>
        <v>0</v>
      </c>
    </row>
    <row r="11" customFormat="false" ht="15" hidden="false" customHeight="false" outlineLevel="0" collapsed="false">
      <c r="B11" s="10" t="s">
        <v>110</v>
      </c>
      <c r="C11" s="19" t="n">
        <f aca="false">SUM(tsk_IsLeaf)</f>
        <v>0</v>
      </c>
    </row>
    <row r="12" customFormat="false" ht="15" hidden="false" customHeight="false" outlineLevel="0" collapsed="false">
      <c r="B12" s="10" t="s">
        <v>111</v>
      </c>
      <c r="C12" s="19" t="n">
        <f aca="false">SUMPRODUCT(tsk_IsLeaf*(tsk_Duration=0)*(tsk_Name&lt;&gt;""))</f>
        <v>0</v>
      </c>
    </row>
    <row r="13" customFormat="false" ht="15" hidden="false" customHeight="false" outlineLevel="0" collapsed="false">
      <c r="B13" s="10" t="s">
        <v>112</v>
      </c>
      <c r="C13" s="20" t="n">
        <f aca="false">SUMPRODUCT(tsk_Work,tsk_IsLeaf)</f>
        <v>0</v>
      </c>
    </row>
    <row r="14" customFormat="false" ht="15" hidden="false" customHeight="false" outlineLevel="0" collapsed="false">
      <c r="B14" s="10" t="s">
        <v>113</v>
      </c>
      <c r="C14" s="21" t="n">
        <f aca="false">SUMPRODUCT(tsk_Cost,tsk_IsLeaf)</f>
        <v>0</v>
      </c>
    </row>
    <row r="15" customFormat="false" ht="15" hidden="false" customHeight="false" outlineLevel="0" collapsed="false">
      <c r="B15" s="10" t="s">
        <v>114</v>
      </c>
      <c r="C15" s="22" t="str">
        <f aca="false">IF(CurrentSprint="","(outside sprint range)",CurrentSprint)</f>
        <v>Sprint 1</v>
      </c>
    </row>
    <row r="16" customFormat="false" ht="15" hidden="false" customHeight="false" outlineLevel="0" collapsed="false">
      <c r="B16" s="10" t="s">
        <v>115</v>
      </c>
      <c r="C16" s="22" t="str">
        <f aca="false">IF(COUNT(tsk_BaseStart)=0,"Not set (planned = calculated)","Set on "&amp;COUNT(tsk_BaseStart)&amp;" tasks")</f>
        <v>Not set (planned = calculated)</v>
      </c>
    </row>
    <row r="17" customFormat="false" ht="15" hidden="false" customHeight="false" outlineLevel="0" collapsed="false">
      <c r="B17" s="10" t="s">
        <v>116</v>
      </c>
      <c r="C17" s="19" t="n">
        <f aca="false">COUNTIFS(tsk_Critical,"Yes",tsk_IsLeaf,1)</f>
        <v>0</v>
      </c>
    </row>
    <row r="18" customFormat="false" ht="15" hidden="false" customHeight="false" outlineLevel="0" collapsed="false">
      <c r="B18" s="10" t="s">
        <v>117</v>
      </c>
      <c r="C18" s="19" t="n">
        <f aca="false">COUNTIF(tsk_DeadlineCheck,"Late*")</f>
        <v>0</v>
      </c>
    </row>
    <row r="19" customFormat="false" ht="15" hidden="false" customHeight="false" outlineLevel="0" collapsed="false">
      <c r="B19" s="10" t="s">
        <v>118</v>
      </c>
      <c r="C19" s="19" t="n">
        <f aca="false">COUNTIF(tsk_LinkCheck,"?*")</f>
        <v>0</v>
      </c>
    </row>
    <row r="20" customFormat="false" ht="15" hidden="false" customHeight="false" outlineLevel="0" collapsed="false">
      <c r="B20" s="10" t="s">
        <v>119</v>
      </c>
      <c r="C20" s="22" t="str">
        <f aca="false">ProjectRAG</f>
        <v>Green</v>
      </c>
    </row>
    <row r="21" customFormat="false" ht="15" hidden="false" customHeight="false" outlineLevel="0" collapsed="false">
      <c r="B21" s="10" t="s">
        <v>120</v>
      </c>
      <c r="C21" s="23" t="str">
        <f aca="false">IF(evm_SPI="","-",evm_SPI)</f>
        <v>-</v>
      </c>
    </row>
    <row r="22" customFormat="false" ht="15" hidden="false" customHeight="false" outlineLevel="0" collapsed="false">
      <c r="B22" s="10" t="s">
        <v>121</v>
      </c>
      <c r="C22" s="23" t="str">
        <f aca="false">IF(evm_CPI="","-",evm_CPI)</f>
        <v>-</v>
      </c>
    </row>
    <row r="23" customFormat="false" ht="15" hidden="false" customHeight="false" outlineLevel="0" collapsed="false">
      <c r="B23" s="10" t="s">
        <v>122</v>
      </c>
      <c r="C23" s="21" t="n">
        <f aca="false">evm_EAC</f>
        <v>0</v>
      </c>
    </row>
    <row r="24" customFormat="false" ht="15" hidden="false" customHeight="false" outlineLevel="0" collapsed="false">
      <c r="B24" s="10" t="s">
        <v>123</v>
      </c>
      <c r="C24" s="22" t="str">
        <f aca="false">IF(TotalPoints=0,"-",agl_Done&amp;" / "&amp;TotalPoints)</f>
        <v>-</v>
      </c>
    </row>
    <row r="25" customFormat="false" ht="15" hidden="false" customHeight="false" outlineLevel="0" collapsed="false">
      <c r="B25" s="10" t="s">
        <v>124</v>
      </c>
      <c r="C25" s="22" t="str">
        <f aca="false">COUNTIFS(raid_Type,"Risk",raid_Status,"&lt;&gt;Closed")&amp;" / "&amp;COUNTIFS(raid_Type,"Issue",raid_Status,"&lt;&gt;Closed")</f>
        <v>0 / 0</v>
      </c>
    </row>
    <row r="26" customFormat="false" ht="15" hidden="false" customHeight="false" outlineLevel="0" collapsed="false">
      <c r="B26" s="10" t="s">
        <v>125</v>
      </c>
      <c r="C26" s="19" t="n">
        <f aca="false">COUNTIF(tsk_OverAllocated,"Yes")</f>
        <v>0</v>
      </c>
    </row>
    <row r="27" customFormat="false" ht="15" hidden="false" customHeight="false" outlineLevel="0" collapsed="false">
      <c r="B27" s="10" t="s">
        <v>126</v>
      </c>
      <c r="C27" s="19" t="n">
        <f aca="false">COUNTIF(chg_Status,"Submitted")+COUNTIF(chg_Status,"Under Review")</f>
        <v>0</v>
      </c>
    </row>
    <row r="30" customFormat="false" ht="15" hidden="false" customHeight="false" outlineLevel="0" collapsed="false">
      <c r="B30" s="9" t="s">
        <v>127</v>
      </c>
      <c r="C30" s="9" t="s">
        <v>128</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129</v>
      </c>
      <c r="C4" s="9" t="s">
        <v>130</v>
      </c>
      <c r="D4" s="9" t="s">
        <v>96</v>
      </c>
      <c r="E4" s="9" t="s">
        <v>131</v>
      </c>
      <c r="F4" s="27" t="s">
        <v>132</v>
      </c>
      <c r="G4" s="9" t="s">
        <v>133</v>
      </c>
      <c r="H4" s="27" t="s">
        <v>134</v>
      </c>
    </row>
    <row r="5" customFormat="false" ht="15" hidden="false" customHeight="false" outlineLevel="0" collapsed="false">
      <c r="B5" s="10" t="s">
        <v>135</v>
      </c>
      <c r="C5" s="24" t="s">
        <v>136</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129</v>
      </c>
      <c r="C7" s="9" t="s">
        <v>130</v>
      </c>
      <c r="D7" s="9" t="s">
        <v>96</v>
      </c>
      <c r="E7" s="9" t="s">
        <v>131</v>
      </c>
      <c r="F7" s="27" t="s">
        <v>132</v>
      </c>
      <c r="G7" s="9" t="s">
        <v>133</v>
      </c>
      <c r="H7" s="27" t="s">
        <v>134</v>
      </c>
    </row>
    <row r="8" customFormat="false" ht="15" hidden="false" customHeight="false" outlineLevel="0" collapsed="false">
      <c r="B8" s="10" t="s">
        <v>137</v>
      </c>
      <c r="C8" s="24" t="s">
        <v>138</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139</v>
      </c>
      <c r="C9" s="24" t="s">
        <v>140</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141</v>
      </c>
      <c r="C10" s="24" t="s">
        <v>142</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143</v>
      </c>
      <c r="C11" s="24" t="s">
        <v>144</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145</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146</v>
      </c>
      <c r="C13" s="24" t="s">
        <v>147</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148</v>
      </c>
      <c r="C14" s="24" t="s">
        <v>149</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150</v>
      </c>
    </row>
    <row r="17" customFormat="false" ht="15" hidden="false" customHeight="false" outlineLevel="0" collapsed="false">
      <c r="B17" s="9" t="s">
        <v>130</v>
      </c>
      <c r="C17" s="9" t="s">
        <v>151</v>
      </c>
      <c r="D17" s="9" t="s">
        <v>96</v>
      </c>
    </row>
    <row r="18" customFormat="false" ht="15" hidden="false" customHeight="false" outlineLevel="0" collapsed="false">
      <c r="B18" s="24" t="s">
        <v>152</v>
      </c>
      <c r="C18" s="24" t="s">
        <v>153</v>
      </c>
      <c r="D18" s="37" t="n">
        <f aca="false">SUM(tsk_LeafBudget)</f>
        <v>0</v>
      </c>
    </row>
    <row r="19" customFormat="false" ht="15" hidden="false" customHeight="false" outlineLevel="0" collapsed="false">
      <c r="B19" s="24" t="s">
        <v>154</v>
      </c>
      <c r="C19" s="24" t="s">
        <v>155</v>
      </c>
      <c r="D19" s="37" t="n">
        <f aca="false">SUM(tsk_LeafPV)</f>
        <v>0</v>
      </c>
    </row>
    <row r="20" customFormat="false" ht="15" hidden="false" customHeight="false" outlineLevel="0" collapsed="false">
      <c r="B20" s="24" t="s">
        <v>156</v>
      </c>
      <c r="C20" s="24" t="s">
        <v>157</v>
      </c>
      <c r="D20" s="37" t="n">
        <f aca="false">SUM(tsk_LeafEV)</f>
        <v>0</v>
      </c>
    </row>
    <row r="21" customFormat="false" ht="15" hidden="false" customHeight="false" outlineLevel="0" collapsed="false">
      <c r="B21" s="24" t="s">
        <v>158</v>
      </c>
      <c r="C21" s="24" t="s">
        <v>159</v>
      </c>
      <c r="D21" s="37" t="n">
        <f aca="false">SUM(tsk_LeafAC)</f>
        <v>0</v>
      </c>
    </row>
    <row r="22" customFormat="false" ht="15" hidden="false" customHeight="false" outlineLevel="0" collapsed="false">
      <c r="B22" s="24" t="s">
        <v>160</v>
      </c>
      <c r="C22" s="24" t="s">
        <v>161</v>
      </c>
      <c r="D22" s="37" t="n">
        <f aca="false">evm_EV-evm_PV</f>
        <v>0</v>
      </c>
    </row>
    <row r="23" customFormat="false" ht="15" hidden="false" customHeight="false" outlineLevel="0" collapsed="false">
      <c r="B23" s="24" t="s">
        <v>162</v>
      </c>
      <c r="C23" s="24" t="s">
        <v>163</v>
      </c>
      <c r="D23" s="37" t="n">
        <f aca="false">evm_EV-evm_AC</f>
        <v>0</v>
      </c>
    </row>
    <row r="24" customFormat="false" ht="15" hidden="false" customHeight="false" outlineLevel="0" collapsed="false">
      <c r="B24" s="24" t="s">
        <v>164</v>
      </c>
      <c r="C24" s="24" t="s">
        <v>165</v>
      </c>
      <c r="D24" s="38" t="str">
        <f aca="false">IF(evm_PV&gt;0,evm_EV/evm_PV,"")</f>
        <v/>
      </c>
    </row>
    <row r="25" customFormat="false" ht="15" hidden="false" customHeight="false" outlineLevel="0" collapsed="false">
      <c r="B25" s="24" t="s">
        <v>166</v>
      </c>
      <c r="C25" s="24" t="s">
        <v>167</v>
      </c>
      <c r="D25" s="38" t="str">
        <f aca="false">IF(evm_AC&gt;0,evm_EV/evm_AC,"")</f>
        <v/>
      </c>
    </row>
    <row r="26" customFormat="false" ht="15" hidden="false" customHeight="false" outlineLevel="0" collapsed="false">
      <c r="B26" s="24" t="s">
        <v>168</v>
      </c>
      <c r="C26" s="24" t="s">
        <v>169</v>
      </c>
      <c r="D26" s="37" t="n">
        <f aca="false">IF(N(evm_CPI)&gt;0,evm_AC+(evm_BAC-evm_EV)/evm_CPI,evm_AC+evm_BAC-evm_EV)</f>
        <v>0</v>
      </c>
    </row>
    <row r="27" customFormat="false" ht="15" hidden="false" customHeight="false" outlineLevel="0" collapsed="false">
      <c r="B27" s="24" t="s">
        <v>170</v>
      </c>
      <c r="C27" s="24" t="s">
        <v>171</v>
      </c>
      <c r="D27" s="37" t="n">
        <f aca="false">evm_EAC-evm_AC</f>
        <v>0</v>
      </c>
    </row>
    <row r="28" customFormat="false" ht="15" hidden="false" customHeight="false" outlineLevel="0" collapsed="false">
      <c r="B28" s="24" t="s">
        <v>172</v>
      </c>
      <c r="C28" s="24" t="s">
        <v>173</v>
      </c>
      <c r="D28" s="37" t="n">
        <f aca="false">evm_BAC-evm_EAC</f>
        <v>0</v>
      </c>
    </row>
    <row r="29" customFormat="false" ht="15" hidden="false" customHeight="false" outlineLevel="0" collapsed="false">
      <c r="B29" s="24" t="s">
        <v>174</v>
      </c>
      <c r="C29" s="24" t="s">
        <v>175</v>
      </c>
      <c r="D29" s="38" t="str">
        <f aca="false">IF(evm_BAC&gt;evm_AC,(evm_BAC-evm_EV)/(evm_BAC-evm_AC),"")</f>
        <v/>
      </c>
    </row>
    <row r="30" customFormat="false" ht="15" hidden="false" customHeight="false" outlineLevel="0" collapsed="false">
      <c r="B30" s="24" t="s">
        <v>176</v>
      </c>
      <c r="C30" s="24" t="s">
        <v>177</v>
      </c>
      <c r="D30" s="39" t="n">
        <f aca="false">IF(evm_BAC&gt;0,evm_EV/evm_BAC,0)</f>
        <v>0</v>
      </c>
    </row>
    <row r="31" customFormat="false" ht="15" hidden="false" customHeight="false" outlineLevel="0" collapsed="false">
      <c r="B31" s="24" t="s">
        <v>178</v>
      </c>
      <c r="C31" s="24" t="s">
        <v>179</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180</v>
      </c>
      <c r="B34" s="9" t="s">
        <v>181</v>
      </c>
      <c r="C34" s="9" t="s">
        <v>182</v>
      </c>
      <c r="D34" s="9" t="s">
        <v>183</v>
      </c>
      <c r="E34" s="9" t="s">
        <v>184</v>
      </c>
      <c r="F34" s="9" t="s">
        <v>185</v>
      </c>
      <c r="G34" s="9" t="s">
        <v>186</v>
      </c>
      <c r="H34" s="9" t="s">
        <v>187</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188</v>
      </c>
    </row>
    <row r="45" customFormat="false" ht="15" hidden="false" customHeight="false" outlineLevel="0" collapsed="false">
      <c r="B45" s="9" t="s">
        <v>130</v>
      </c>
      <c r="C45" s="9" t="s">
        <v>189</v>
      </c>
      <c r="D45" s="9" t="s">
        <v>96</v>
      </c>
    </row>
    <row r="46" customFormat="false" ht="15" hidden="false" customHeight="false" outlineLevel="0" collapsed="false">
      <c r="B46" s="24" t="s">
        <v>126</v>
      </c>
      <c r="C46" s="24" t="s">
        <v>190</v>
      </c>
      <c r="D46" s="43" t="n">
        <f aca="false">COUNTIF(chg_Status,"Submitted")+COUNTIF(chg_Status,"Under Review")</f>
        <v>0</v>
      </c>
    </row>
    <row r="47" customFormat="false" ht="15" hidden="false" customHeight="false" outlineLevel="0" collapsed="false">
      <c r="B47" s="24" t="s">
        <v>191</v>
      </c>
      <c r="C47" s="24" t="s">
        <v>190</v>
      </c>
      <c r="D47" s="43" t="n">
        <f aca="false">COUNTIF(chg_Status,"Approved")+COUNTIF(chg_Status,"Implemented")</f>
        <v>0</v>
      </c>
    </row>
    <row r="48" customFormat="false" ht="15" hidden="false" customHeight="false" outlineLevel="0" collapsed="false">
      <c r="B48" s="24" t="s">
        <v>192</v>
      </c>
      <c r="C48" s="24" t="s">
        <v>190</v>
      </c>
      <c r="D48" s="44" t="n">
        <f aca="false">SUMIFS(chg_Days,chg_Status,"Approved")+SUMIFS(chg_Days,chg_Status,"Implemented")</f>
        <v>0</v>
      </c>
    </row>
    <row r="49" customFormat="false" ht="15" hidden="false" customHeight="false" outlineLevel="0" collapsed="false">
      <c r="B49" s="24" t="s">
        <v>193</v>
      </c>
      <c r="C49" s="24" t="s">
        <v>190</v>
      </c>
      <c r="D49" s="37" t="n">
        <f aca="false">SUMIFS(chg_Cost,chg_Status,"Approved")+SUMIFS(chg_Cost,chg_Status,"Implemented")</f>
        <v>0</v>
      </c>
    </row>
    <row r="50" customFormat="false" ht="15" hidden="false" customHeight="false" outlineLevel="0" collapsed="false">
      <c r="B50" s="24" t="s">
        <v>194</v>
      </c>
      <c r="C50" s="24" t="s">
        <v>190</v>
      </c>
      <c r="D50" s="37" t="n">
        <f aca="false">SUMIFS(chg_Cost,chg_Status,"Submitted")+SUMIFS(chg_Cost,chg_Status,"Under Review")</f>
        <v>0</v>
      </c>
    </row>
    <row r="51" customFormat="false" ht="15" hidden="false" customHeight="false" outlineLevel="0" collapsed="false">
      <c r="B51" s="24" t="s">
        <v>195</v>
      </c>
      <c r="C51" s="24" t="s">
        <v>196</v>
      </c>
      <c r="D51" s="43" t="n">
        <f aca="false">COUNTIF(dec_Status,"Proposed")</f>
        <v>0</v>
      </c>
    </row>
    <row r="52" customFormat="false" ht="15" hidden="false" customHeight="false" outlineLevel="0" collapsed="false">
      <c r="B52" s="24" t="s">
        <v>197</v>
      </c>
      <c r="C52" s="24" t="s">
        <v>146</v>
      </c>
      <c r="D52" s="43" t="n">
        <f aca="false">COUNTIF(raid_Overdue,"Overdue")</f>
        <v>0</v>
      </c>
    </row>
    <row r="54" customFormat="false" ht="15" hidden="false" customHeight="false" outlineLevel="0" collapsed="false">
      <c r="B54" s="36" t="s">
        <v>198</v>
      </c>
    </row>
    <row r="55" customFormat="false" ht="15" hidden="false" customHeight="false" outlineLevel="0" collapsed="false">
      <c r="B55" s="9" t="s">
        <v>199</v>
      </c>
      <c r="C55" s="27" t="s">
        <v>200</v>
      </c>
    </row>
    <row r="56" customFormat="false" ht="36" hidden="false" customHeight="true" outlineLevel="0" collapsed="false">
      <c r="B56" s="45" t="s">
        <v>201</v>
      </c>
      <c r="C56" s="46"/>
    </row>
    <row r="57" customFormat="false" ht="36" hidden="false" customHeight="true" outlineLevel="0" collapsed="false">
      <c r="B57" s="45" t="s">
        <v>202</v>
      </c>
      <c r="C57" s="46"/>
    </row>
    <row r="58" customFormat="false" ht="36" hidden="false" customHeight="true" outlineLevel="0" collapsed="false">
      <c r="B58" s="45" t="s">
        <v>203</v>
      </c>
      <c r="C58" s="46"/>
    </row>
    <row r="59" customFormat="false" ht="36" hidden="false" customHeight="true" outlineLevel="0" collapsed="false">
      <c r="B59" s="45" t="s">
        <v>204</v>
      </c>
      <c r="C59" s="46"/>
    </row>
    <row r="60" customFormat="false" ht="36" hidden="false" customHeight="true" outlineLevel="0" collapsed="false">
      <c r="B60" s="45" t="s">
        <v>205</v>
      </c>
      <c r="C60" s="46"/>
    </row>
    <row r="61" customFormat="false" ht="36" hidden="false" customHeight="true" outlineLevel="0" collapsed="false">
      <c r="B61" s="45" t="s">
        <v>206</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180</v>
      </c>
      <c r="C5" s="9" t="s">
        <v>207</v>
      </c>
      <c r="D5" s="9" t="s">
        <v>208</v>
      </c>
      <c r="E5" s="9" t="s">
        <v>209</v>
      </c>
      <c r="F5" s="9" t="s">
        <v>210</v>
      </c>
      <c r="G5" s="9" t="s">
        <v>211</v>
      </c>
      <c r="H5" s="9" t="s">
        <v>212</v>
      </c>
      <c r="I5" s="9" t="s">
        <v>213</v>
      </c>
      <c r="J5" s="9" t="s">
        <v>214</v>
      </c>
      <c r="K5" s="9" t="s">
        <v>215</v>
      </c>
      <c r="L5" s="9" t="s">
        <v>216</v>
      </c>
      <c r="M5" s="9" t="s">
        <v>217</v>
      </c>
      <c r="N5" s="9" t="s">
        <v>218</v>
      </c>
      <c r="O5" s="9" t="s">
        <v>219</v>
      </c>
      <c r="P5" s="9" t="s">
        <v>133</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180</v>
      </c>
      <c r="C18" s="9" t="s">
        <v>207</v>
      </c>
      <c r="D18" s="9" t="s">
        <v>220</v>
      </c>
      <c r="E18" s="9" t="s">
        <v>221</v>
      </c>
      <c r="F18" s="9" t="s">
        <v>222</v>
      </c>
      <c r="G18" s="9" t="s">
        <v>211</v>
      </c>
      <c r="H18" s="9" t="s">
        <v>223</v>
      </c>
      <c r="I18" s="9" t="s">
        <v>224</v>
      </c>
      <c r="J18" s="9" t="s">
        <v>97</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180</v>
      </c>
      <c r="C36" s="9" t="s">
        <v>207</v>
      </c>
      <c r="D36" s="9" t="s">
        <v>187</v>
      </c>
      <c r="E36" s="9" t="s">
        <v>225</v>
      </c>
      <c r="F36" s="9" t="s">
        <v>209</v>
      </c>
      <c r="G36" s="9" t="s">
        <v>210</v>
      </c>
      <c r="H36" s="9" t="s">
        <v>211</v>
      </c>
      <c r="I36" s="9" t="s">
        <v>97</v>
      </c>
      <c r="J36" s="9" t="s">
        <v>226</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Row],[_Task]]="","",INDEX(tsk_ResourceNames,LateTasks[[#This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Row],[_Task]]="","",INDEX(tsk_ResourceNames,LateTasks[[#This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Row],[_Task]]="","",INDEX(tsk_ResourceNames,LateTasks[[#This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Row],[_Task]]="","",INDEX(tsk_ResourceNames,LateTasks[[#This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Row],[_Task]]="","",INDEX(tsk_ResourceNames,LateTasks[[#This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Row],[_Task]]="","",INDEX(tsk_ResourceNames,LateTasks[[#This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Row],[_Task]]="","",INDEX(tsk_ResourceNames,LateTasks[[#This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Row],[_Task]]="","",INDEX(tsk_ResourceNames,LateTasks[[#This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Row],[_Task]]="","",INDEX(tsk_ResourceNames,LateTasks[[#This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Row],[_Task]]="","",INDEX(tsk_ResourceNames,LateTasks[[#This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Row],[_Task]]="","",INDEX(tsk_ResourceNames,LateTasks[[#This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Row],[_Task]]="","",INDEX(tsk_ResourceNames,LateTasks[[#This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Row],[_Task]]="","",INDEX(tsk_ResourceNames,LateTasks[[#This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Row],[_Task]]="","",INDEX(tsk_ResourceNames,LateTasks[[#This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Row],[_Task]]="","",INDEX(tsk_ResourceNames,LateTasks[[#This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180</v>
      </c>
      <c r="C54" s="9" t="s">
        <v>207</v>
      </c>
      <c r="D54" s="9" t="s">
        <v>187</v>
      </c>
      <c r="E54" s="9" t="s">
        <v>225</v>
      </c>
      <c r="F54" s="9" t="s">
        <v>227</v>
      </c>
      <c r="G54" s="9" t="s">
        <v>210</v>
      </c>
      <c r="H54" s="9" t="s">
        <v>228</v>
      </c>
      <c r="I54" s="9" t="s">
        <v>55</v>
      </c>
      <c r="J54" s="9" t="s">
        <v>226</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Row],[_Task]]="","",INDEX(tsk_ResourceNames,StartingSoon[[#This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Row],[_Task]]="","",INDEX(tsk_ResourceNames,StartingSoon[[#This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Row],[_Task]]="","",INDEX(tsk_ResourceNames,StartingSoon[[#This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Row],[_Task]]="","",INDEX(tsk_ResourceNames,StartingSoon[[#This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Row],[_Task]]="","",INDEX(tsk_ResourceNames,StartingSoon[[#This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Row],[_Task]]="","",INDEX(tsk_ResourceNames,StartingSoon[[#This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Row],[_Task]]="","",INDEX(tsk_ResourceNames,StartingSoon[[#This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Row],[_Task]]="","",INDEX(tsk_ResourceNames,StartingSoon[[#This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Row],[_Task]]="","",INDEX(tsk_ResourceNames,StartingSoon[[#This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Row],[_Task]]="","",INDEX(tsk_ResourceNames,StartingSoon[[#This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Row],[_Task]]="","",INDEX(tsk_ResourceNames,StartingSoon[[#This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Row],[_Task]]="","",INDEX(tsk_ResourceNames,StartingSoon[[#This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Row],[_Task]]="","",INDEX(tsk_ResourceNames,StartingSoon[[#This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Row],[_Task]]="","",INDEX(tsk_ResourceNames,StartingSoon[[#This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Row],[_Task]]="","",INDEX(tsk_ResourceNames,StartingSoon[[#This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180</v>
      </c>
      <c r="C72" s="9" t="s">
        <v>207</v>
      </c>
      <c r="D72" s="9" t="s">
        <v>187</v>
      </c>
      <c r="E72" s="9" t="s">
        <v>225</v>
      </c>
      <c r="F72" s="9" t="s">
        <v>210</v>
      </c>
      <c r="G72" s="9" t="s">
        <v>212</v>
      </c>
      <c r="H72" s="9" t="s">
        <v>224</v>
      </c>
      <c r="I72" s="9" t="s">
        <v>97</v>
      </c>
      <c r="J72" s="9" t="s">
        <v>226</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Row],[_Task]]="","",INDEX(tsk_ResourceNames,DueSoon[[#This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Row],[_Task]]="","",INDEX(tsk_ResourceNames,DueSoon[[#This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Row],[_Task]]="","",INDEX(tsk_ResourceNames,DueSoon[[#This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Row],[_Task]]="","",INDEX(tsk_ResourceNames,DueSoon[[#This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Row],[_Task]]="","",INDEX(tsk_ResourceNames,DueSoon[[#This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Row],[_Task]]="","",INDEX(tsk_ResourceNames,DueSoon[[#This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Row],[_Task]]="","",INDEX(tsk_ResourceNames,DueSoon[[#This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Row],[_Task]]="","",INDEX(tsk_ResourceNames,DueSoon[[#This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Row],[_Task]]="","",INDEX(tsk_ResourceNames,DueSoon[[#This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Row],[_Task]]="","",INDEX(tsk_ResourceNames,DueSoon[[#This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Row],[_Task]]="","",INDEX(tsk_ResourceNames,DueSoon[[#This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Row],[_Task]]="","",INDEX(tsk_ResourceNames,DueSoon[[#This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Row],[_Task]]="","",INDEX(tsk_ResourceNames,DueSoon[[#This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Row],[_Task]]="","",INDEX(tsk_ResourceNames,DueSoon[[#This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Row],[_Task]]="","",INDEX(tsk_ResourceNames,DueSoon[[#This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180</v>
      </c>
      <c r="C90" s="9" t="s">
        <v>207</v>
      </c>
      <c r="D90" s="9" t="s">
        <v>187</v>
      </c>
      <c r="E90" s="9" t="s">
        <v>225</v>
      </c>
      <c r="F90" s="9" t="s">
        <v>227</v>
      </c>
      <c r="G90" s="9" t="s">
        <v>210</v>
      </c>
      <c r="H90" s="9" t="s">
        <v>229</v>
      </c>
      <c r="I90" s="9" t="s">
        <v>224</v>
      </c>
      <c r="J90" s="9" t="s">
        <v>97</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Row],[_Task]]="","",INDEX(tsk_ResourceNames,CriticalTasks[[#This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Row],[_Task]]="","",INDEX(tsk_ResourceNames,CriticalTasks[[#This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Row],[_Task]]="","",INDEX(tsk_ResourceNames,CriticalTasks[[#This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Row],[_Task]]="","",INDEX(tsk_ResourceNames,CriticalTasks[[#This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Row],[_Task]]="","",INDEX(tsk_ResourceNames,CriticalTasks[[#This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Row],[_Task]]="","",INDEX(tsk_ResourceNames,CriticalTasks[[#This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Row],[_Task]]="","",INDEX(tsk_ResourceNames,CriticalTasks[[#This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Row],[_Task]]="","",INDEX(tsk_ResourceNames,CriticalTasks[[#This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Row],[_Task]]="","",INDEX(tsk_ResourceNames,CriticalTasks[[#This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Row],[_Task]]="","",INDEX(tsk_ResourceNames,CriticalTasks[[#This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Row],[_Task]]="","",INDEX(tsk_ResourceNames,CriticalTasks[[#This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Row],[_Task]]="","",INDEX(tsk_ResourceNames,CriticalTasks[[#This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Row],[_Task]]="","",INDEX(tsk_ResourceNames,CriticalTasks[[#This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Row],[_Task]]="","",INDEX(tsk_ResourceNames,CriticalTasks[[#This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Row],[_Task]]="","",INDEX(tsk_ResourceNames,CriticalTasks[[#This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Row],[_Task]]="","",INDEX(tsk_ResourceNames,CriticalTasks[[#This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Row],[_Task]]="","",INDEX(tsk_ResourceNames,CriticalTasks[[#This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Row],[_Task]]="","",INDEX(tsk_ResourceNames,CriticalTasks[[#This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Row],[_Task]]="","",INDEX(tsk_ResourceNames,CriticalTasks[[#This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Row],[_Task]]="","",INDEX(tsk_ResourceNames,CriticalTasks[[#This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230</v>
      </c>
    </row>
    <row r="5" customFormat="false" ht="23.85" hidden="false" customHeight="false" outlineLevel="0" collapsed="false">
      <c r="B5" s="9" t="s">
        <v>225</v>
      </c>
      <c r="C5" s="9" t="s">
        <v>231</v>
      </c>
      <c r="D5" s="9" t="s">
        <v>232</v>
      </c>
      <c r="E5" s="9" t="s">
        <v>233</v>
      </c>
      <c r="F5" s="9" t="s">
        <v>234</v>
      </c>
      <c r="G5" s="9" t="s">
        <v>235</v>
      </c>
      <c r="H5" s="9" t="s">
        <v>236</v>
      </c>
      <c r="I5" s="9" t="s">
        <v>237</v>
      </c>
      <c r="J5" s="9" t="s">
        <v>238</v>
      </c>
      <c r="K5" s="9" t="s">
        <v>219</v>
      </c>
      <c r="L5" s="9" t="s">
        <v>239</v>
      </c>
      <c r="M5" s="9" t="s">
        <v>240</v>
      </c>
      <c r="N5" s="9" t="s">
        <v>241</v>
      </c>
      <c r="O5" s="9" t="s">
        <v>242</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Row],[Resource]])+SUMIFS(asg_WorkDone,asg_Resource,ResourceSummary[[#This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Row],[Resource]],tsk_LateKey,"&gt;0")+SUMIFS(asg_Late,asg_Resource,ResourceSummary[[#This Row],[Resource]]))</f>
        <v/>
      </c>
      <c r="K6" s="52" t="str">
        <f aca="false">IF(ResourceSummary[[#This Row],[Resource]]="","",COUNTIFS(tsk_Resource,ResourceSummary[[#This Row],[Resource]],tsk_Critical,"Yes",tsk_IsLeaf,1)+SUMIFS(asg_Critical,asg_Resource,ResourceSummary[[#This Row],[Resource]]))</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c r="O6" s="54"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Row],[Resource]])+SUMIFS(asg_WorkDone,asg_Resource,ResourceSummary[[#This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Row],[Resource]],tsk_LateKey,"&gt;0")+SUMIFS(asg_Late,asg_Resource,ResourceSummary[[#This Row],[Resource]]))</f>
        <v/>
      </c>
      <c r="K7" s="52" t="str">
        <f aca="false">IF(ResourceSummary[[#This Row],[Resource]]="","",COUNTIFS(tsk_Resource,ResourceSummary[[#This Row],[Resource]],tsk_Critical,"Yes",tsk_IsLeaf,1)+SUMIFS(asg_Critical,asg_Resource,ResourceSummary[[#This Row],[Resource]]))</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c r="O7" s="54"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Row],[Resource]])+SUMIFS(asg_WorkDone,asg_Resource,ResourceSummary[[#This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Row],[Resource]],tsk_LateKey,"&gt;0")+SUMIFS(asg_Late,asg_Resource,ResourceSummary[[#This Row],[Resource]]))</f>
        <v/>
      </c>
      <c r="K8" s="52" t="str">
        <f aca="false">IF(ResourceSummary[[#This Row],[Resource]]="","",COUNTIFS(tsk_Resource,ResourceSummary[[#This Row],[Resource]],tsk_Critical,"Yes",tsk_IsLeaf,1)+SUMIFS(asg_Critical,asg_Resource,ResourceSummary[[#This Row],[Resource]]))</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c r="O8" s="54"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Row],[Resource]])+SUMIFS(asg_WorkDone,asg_Resource,ResourceSummary[[#This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Row],[Resource]],tsk_LateKey,"&gt;0")+SUMIFS(asg_Late,asg_Resource,ResourceSummary[[#This Row],[Resource]]))</f>
        <v/>
      </c>
      <c r="K9" s="52" t="str">
        <f aca="false">IF(ResourceSummary[[#This Row],[Resource]]="","",COUNTIFS(tsk_Resource,ResourceSummary[[#This Row],[Resource]],tsk_Critical,"Yes",tsk_IsLeaf,1)+SUMIFS(asg_Critical,asg_Resource,ResourceSummary[[#This Row],[Resource]]))</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c r="O9" s="54"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Row],[Resource]])+SUMIFS(asg_WorkDone,asg_Resource,ResourceSummary[[#This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Row],[Resource]],tsk_LateKey,"&gt;0")+SUMIFS(asg_Late,asg_Resource,ResourceSummary[[#This Row],[Resource]]))</f>
        <v/>
      </c>
      <c r="K10" s="52" t="str">
        <f aca="false">IF(ResourceSummary[[#This Row],[Resource]]="","",COUNTIFS(tsk_Resource,ResourceSummary[[#This Row],[Resource]],tsk_Critical,"Yes",tsk_IsLeaf,1)+SUMIFS(asg_Critical,asg_Resource,ResourceSummary[[#This Row],[Resource]]))</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c r="O10" s="54"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Row],[Resource]])+SUMIFS(asg_WorkDone,asg_Resource,ResourceSummary[[#This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Row],[Resource]],tsk_LateKey,"&gt;0")+SUMIFS(asg_Late,asg_Resource,ResourceSummary[[#This Row],[Resource]]))</f>
        <v/>
      </c>
      <c r="K11" s="52" t="str">
        <f aca="false">IF(ResourceSummary[[#This Row],[Resource]]="","",COUNTIFS(tsk_Resource,ResourceSummary[[#This Row],[Resource]],tsk_Critical,"Yes",tsk_IsLeaf,1)+SUMIFS(asg_Critical,asg_Resource,ResourceSummary[[#This Row],[Resource]]))</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c r="O11" s="54"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Row],[Resource]])+SUMIFS(asg_WorkDone,asg_Resource,ResourceSummary[[#This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Row],[Resource]],tsk_LateKey,"&gt;0")+SUMIFS(asg_Late,asg_Resource,ResourceSummary[[#This Row],[Resource]]))</f>
        <v/>
      </c>
      <c r="K12" s="52" t="str">
        <f aca="false">IF(ResourceSummary[[#This Row],[Resource]]="","",COUNTIFS(tsk_Resource,ResourceSummary[[#This Row],[Resource]],tsk_Critical,"Yes",tsk_IsLeaf,1)+SUMIFS(asg_Critical,asg_Resource,ResourceSummary[[#This Row],[Resource]]))</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c r="O12" s="54"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Row],[Resource]])+SUMIFS(asg_WorkDone,asg_Resource,ResourceSummary[[#This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Row],[Resource]],tsk_LateKey,"&gt;0")+SUMIFS(asg_Late,asg_Resource,ResourceSummary[[#This Row],[Resource]]))</f>
        <v/>
      </c>
      <c r="K13" s="52" t="str">
        <f aca="false">IF(ResourceSummary[[#This Row],[Resource]]="","",COUNTIFS(tsk_Resource,ResourceSummary[[#This Row],[Resource]],tsk_Critical,"Yes",tsk_IsLeaf,1)+SUMIFS(asg_Critical,asg_Resource,ResourceSummary[[#This Row],[Resource]]))</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c r="O13" s="54"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Row],[Resource]])+SUMIFS(asg_WorkDone,asg_Resource,ResourceSummary[[#This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Row],[Resource]],tsk_LateKey,"&gt;0")+SUMIFS(asg_Late,asg_Resource,ResourceSummary[[#This Row],[Resource]]))</f>
        <v/>
      </c>
      <c r="K14" s="52" t="str">
        <f aca="false">IF(ResourceSummary[[#This Row],[Resource]]="","",COUNTIFS(tsk_Resource,ResourceSummary[[#This Row],[Resource]],tsk_Critical,"Yes",tsk_IsLeaf,1)+SUMIFS(asg_Critical,asg_Resource,ResourceSummary[[#This Row],[Resource]]))</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c r="O14" s="54"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Row],[Resource]])+SUMIFS(asg_WorkDone,asg_Resource,ResourceSummary[[#This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Row],[Resource]],tsk_LateKey,"&gt;0")+SUMIFS(asg_Late,asg_Resource,ResourceSummary[[#This Row],[Resource]]))</f>
        <v/>
      </c>
      <c r="K15" s="52" t="str">
        <f aca="false">IF(ResourceSummary[[#This Row],[Resource]]="","",COUNTIFS(tsk_Resource,ResourceSummary[[#This Row],[Resource]],tsk_Critical,"Yes",tsk_IsLeaf,1)+SUMIFS(asg_Critical,asg_Resource,ResourceSummary[[#This Row],[Resource]]))</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c r="O15" s="54"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Row],[Resource]])+SUMIFS(asg_WorkDone,asg_Resource,ResourceSummary[[#This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Row],[Resource]],tsk_LateKey,"&gt;0")+SUMIFS(asg_Late,asg_Resource,ResourceSummary[[#This Row],[Resource]]))</f>
        <v/>
      </c>
      <c r="K16" s="52" t="str">
        <f aca="false">IF(ResourceSummary[[#This Row],[Resource]]="","",COUNTIFS(tsk_Resource,ResourceSummary[[#This Row],[Resource]],tsk_Critical,"Yes",tsk_IsLeaf,1)+SUMIFS(asg_Critical,asg_Resource,ResourceSummary[[#This Row],[Resource]]))</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c r="O16" s="54"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Row],[Resource]])+SUMIFS(asg_WorkDone,asg_Resource,ResourceSummary[[#This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Row],[Resource]],tsk_LateKey,"&gt;0")+SUMIFS(asg_Late,asg_Resource,ResourceSummary[[#This Row],[Resource]]))</f>
        <v/>
      </c>
      <c r="K17" s="52" t="str">
        <f aca="false">IF(ResourceSummary[[#This Row],[Resource]]="","",COUNTIFS(tsk_Resource,ResourceSummary[[#This Row],[Resource]],tsk_Critical,"Yes",tsk_IsLeaf,1)+SUMIFS(asg_Critical,asg_Resource,ResourceSummary[[#This Row],[Resource]]))</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c r="O17" s="54"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Row],[Resource]])+SUMIFS(asg_WorkDone,asg_Resource,ResourceSummary[[#This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Row],[Resource]],tsk_LateKey,"&gt;0")+SUMIFS(asg_Late,asg_Resource,ResourceSummary[[#This Row],[Resource]]))</f>
        <v/>
      </c>
      <c r="K18" s="52" t="str">
        <f aca="false">IF(ResourceSummary[[#This Row],[Resource]]="","",COUNTIFS(tsk_Resource,ResourceSummary[[#This Row],[Resource]],tsk_Critical,"Yes",tsk_IsLeaf,1)+SUMIFS(asg_Critical,asg_Resource,ResourceSummary[[#This Row],[Resource]]))</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c r="O18" s="54"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Row],[Resource]])+SUMIFS(asg_WorkDone,asg_Resource,ResourceSummary[[#This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Row],[Resource]],tsk_LateKey,"&gt;0")+SUMIFS(asg_Late,asg_Resource,ResourceSummary[[#This Row],[Resource]]))</f>
        <v/>
      </c>
      <c r="K19" s="52" t="str">
        <f aca="false">IF(ResourceSummary[[#This Row],[Resource]]="","",COUNTIFS(tsk_Resource,ResourceSummary[[#This Row],[Resource]],tsk_Critical,"Yes",tsk_IsLeaf,1)+SUMIFS(asg_Critical,asg_Resource,ResourceSummary[[#This Row],[Resource]]))</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c r="O19" s="54"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Row],[Resource]])+SUMIFS(asg_WorkDone,asg_Resource,ResourceSummary[[#This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Row],[Resource]],tsk_LateKey,"&gt;0")+SUMIFS(asg_Late,asg_Resource,ResourceSummary[[#This Row],[Resource]]))</f>
        <v/>
      </c>
      <c r="K20" s="52" t="str">
        <f aca="false">IF(ResourceSummary[[#This Row],[Resource]]="","",COUNTIFS(tsk_Resource,ResourceSummary[[#This Row],[Resource]],tsk_Critical,"Yes",tsk_IsLeaf,1)+SUMIFS(asg_Critical,asg_Resource,ResourceSummary[[#This Row],[Resource]]))</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c r="O20" s="54"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Row],[Resource]])+SUMIFS(asg_WorkDone,asg_Resource,ResourceSummary[[#This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Row],[Resource]],tsk_LateKey,"&gt;0")+SUMIFS(asg_Late,asg_Resource,ResourceSummary[[#This Row],[Resource]]))</f>
        <v/>
      </c>
      <c r="K21" s="52" t="str">
        <f aca="false">IF(ResourceSummary[[#This Row],[Resource]]="","",COUNTIFS(tsk_Resource,ResourceSummary[[#This Row],[Resource]],tsk_Critical,"Yes",tsk_IsLeaf,1)+SUMIFS(asg_Critical,asg_Resource,ResourceSummary[[#This Row],[Resource]]))</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c r="O21" s="54"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Row],[Resource]])+SUMIFS(asg_WorkDone,asg_Resource,ResourceSummary[[#This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Row],[Resource]],tsk_LateKey,"&gt;0")+SUMIFS(asg_Late,asg_Resource,ResourceSummary[[#This Row],[Resource]]))</f>
        <v/>
      </c>
      <c r="K22" s="52" t="str">
        <f aca="false">IF(ResourceSummary[[#This Row],[Resource]]="","",COUNTIFS(tsk_Resource,ResourceSummary[[#This Row],[Resource]],tsk_Critical,"Yes",tsk_IsLeaf,1)+SUMIFS(asg_Critical,asg_Resource,ResourceSummary[[#This Row],[Resource]]))</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c r="O22" s="54"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Row],[Resource]])+SUMIFS(asg_WorkDone,asg_Resource,ResourceSummary[[#This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Row],[Resource]],tsk_LateKey,"&gt;0")+SUMIFS(asg_Late,asg_Resource,ResourceSummary[[#This Row],[Resource]]))</f>
        <v/>
      </c>
      <c r="K23" s="52" t="str">
        <f aca="false">IF(ResourceSummary[[#This Row],[Resource]]="","",COUNTIFS(tsk_Resource,ResourceSummary[[#This Row],[Resource]],tsk_Critical,"Yes",tsk_IsLeaf,1)+SUMIFS(asg_Critical,asg_Resource,ResourceSummary[[#This Row],[Resource]]))</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c r="O23" s="54"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Row],[Resource]])+SUMIFS(asg_WorkDone,asg_Resource,ResourceSummary[[#This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Row],[Resource]],tsk_LateKey,"&gt;0")+SUMIFS(asg_Late,asg_Resource,ResourceSummary[[#This Row],[Resource]]))</f>
        <v/>
      </c>
      <c r="K24" s="52" t="str">
        <f aca="false">IF(ResourceSummary[[#This Row],[Resource]]="","",COUNTIFS(tsk_Resource,ResourceSummary[[#This Row],[Resource]],tsk_Critical,"Yes",tsk_IsLeaf,1)+SUMIFS(asg_Critical,asg_Resource,ResourceSummary[[#This Row],[Resource]]))</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c r="O24" s="54"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Row],[Resource]])+SUMIFS(asg_WorkDone,asg_Resource,ResourceSummary[[#This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Row],[Resource]],tsk_LateKey,"&gt;0")+SUMIFS(asg_Late,asg_Resource,ResourceSummary[[#This Row],[Resource]]))</f>
        <v/>
      </c>
      <c r="K25" s="52" t="str">
        <f aca="false">IF(ResourceSummary[[#This Row],[Resource]]="","",COUNTIFS(tsk_Resource,ResourceSummary[[#This Row],[Resource]],tsk_Critical,"Yes",tsk_IsLeaf,1)+SUMIFS(asg_Critical,asg_Resource,ResourceSummary[[#This Row],[Resource]]))</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c r="O25" s="54"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Row],[Resource]])+SUMIFS(asg_WorkDone,asg_Resource,ResourceSummary[[#This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Row],[Resource]],tsk_LateKey,"&gt;0")+SUMIFS(asg_Late,asg_Resource,ResourceSummary[[#This Row],[Resource]]))</f>
        <v/>
      </c>
      <c r="K26" s="52" t="str">
        <f aca="false">IF(ResourceSummary[[#This Row],[Resource]]="","",COUNTIFS(tsk_Resource,ResourceSummary[[#This Row],[Resource]],tsk_Critical,"Yes",tsk_IsLeaf,1)+SUMIFS(asg_Critical,asg_Resource,ResourceSummary[[#This Row],[Resource]]))</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c r="O26" s="54"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Row],[Resource]])+SUMIFS(asg_WorkDone,asg_Resource,ResourceSummary[[#This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Row],[Resource]],tsk_LateKey,"&gt;0")+SUMIFS(asg_Late,asg_Resource,ResourceSummary[[#This Row],[Resource]]))</f>
        <v/>
      </c>
      <c r="K27" s="52" t="str">
        <f aca="false">IF(ResourceSummary[[#This Row],[Resource]]="","",COUNTIFS(tsk_Resource,ResourceSummary[[#This Row],[Resource]],tsk_Critical,"Yes",tsk_IsLeaf,1)+SUMIFS(asg_Critical,asg_Resource,ResourceSummary[[#This Row],[Resource]]))</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c r="O27" s="54"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Row],[Resource]])+SUMIFS(asg_WorkDone,asg_Resource,ResourceSummary[[#This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Row],[Resource]],tsk_LateKey,"&gt;0")+SUMIFS(asg_Late,asg_Resource,ResourceSummary[[#This Row],[Resource]]))</f>
        <v/>
      </c>
      <c r="K28" s="52" t="str">
        <f aca="false">IF(ResourceSummary[[#This Row],[Resource]]="","",COUNTIFS(tsk_Resource,ResourceSummary[[#This Row],[Resource]],tsk_Critical,"Yes",tsk_IsLeaf,1)+SUMIFS(asg_Critical,asg_Resource,ResourceSummary[[#This Row],[Resource]]))</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c r="O28" s="54"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Row],[Resource]])+SUMIFS(asg_WorkDone,asg_Resource,ResourceSummary[[#This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Row],[Resource]],tsk_LateKey,"&gt;0")+SUMIFS(asg_Late,asg_Resource,ResourceSummary[[#This Row],[Resource]]))</f>
        <v/>
      </c>
      <c r="K29" s="52" t="str">
        <f aca="false">IF(ResourceSummary[[#This Row],[Resource]]="","",COUNTIFS(tsk_Resource,ResourceSummary[[#This Row],[Resource]],tsk_Critical,"Yes",tsk_IsLeaf,1)+SUMIFS(asg_Critical,asg_Resource,ResourceSummary[[#This Row],[Resource]]))</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c r="O29" s="54"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Row],[Resource]])+SUMIFS(asg_WorkDone,asg_Resource,ResourceSummary[[#This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Row],[Resource]],tsk_LateKey,"&gt;0")+SUMIFS(asg_Late,asg_Resource,ResourceSummary[[#This Row],[Resource]]))</f>
        <v/>
      </c>
      <c r="K30" s="52" t="str">
        <f aca="false">IF(ResourceSummary[[#This Row],[Resource]]="","",COUNTIFS(tsk_Resource,ResourceSummary[[#This Row],[Resource]],tsk_Critical,"Yes",tsk_IsLeaf,1)+SUMIFS(asg_Critical,asg_Resource,ResourceSummary[[#This Row],[Resource]]))</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c r="O30" s="54" t="str">
        <f aca="false">IF(ResourceSummary[[#This Row],[Resource]]="","",SUM(INDEX(rw_Leave,ROW()-ROW(ResourceSummary[[#Headers],[Resource]]),0)))</f>
        <v/>
      </c>
    </row>
    <row r="32" customFormat="false" ht="15" hidden="false" customHeight="false" outlineLevel="0" collapsed="false">
      <c r="B32" s="55" t="s">
        <v>243</v>
      </c>
    </row>
    <row r="34" customFormat="false" ht="15" hidden="false" customHeight="false" outlineLevel="0" collapsed="false">
      <c r="B34" s="9" t="s">
        <v>225</v>
      </c>
      <c r="C34" s="9" t="s">
        <v>231</v>
      </c>
      <c r="D34" s="56" t="n">
        <f aca="false">(ResourceWeekStart+7*((COLUMN()-COLUMN(rw_LoadOrigin)-1)-1))</f>
        <v>2</v>
      </c>
      <c r="E34" s="56" t="n">
        <f aca="false">(ResourceWeekStart+7*((COLUMN()-COLUMN(rw_LoadOrigin)-1)-1))</f>
        <v>9</v>
      </c>
      <c r="F34" s="56" t="n">
        <f aca="false">(ResourceWeekStart+7*((COLUMN()-COLUMN(rw_LoadOrigin)-1)-1))</f>
        <v>16</v>
      </c>
      <c r="G34" s="56" t="n">
        <f aca="false">(ResourceWeekStart+7*((COLUMN()-COLUMN(rw_LoadOrigin)-1)-1))</f>
        <v>23</v>
      </c>
      <c r="H34" s="56" t="n">
        <f aca="false">(ResourceWeekStart+7*((COLUMN()-COLUMN(rw_LoadOrigin)-1)-1))</f>
        <v>30</v>
      </c>
      <c r="I34" s="56" t="n">
        <f aca="false">(ResourceWeekStart+7*((COLUMN()-COLUMN(rw_LoadOrigin)-1)-1))</f>
        <v>37</v>
      </c>
      <c r="J34" s="56" t="n">
        <f aca="false">(ResourceWeekStart+7*((COLUMN()-COLUMN(rw_LoadOrigin)-1)-1))</f>
        <v>44</v>
      </c>
      <c r="K34" s="56" t="n">
        <f aca="false">(ResourceWeekStart+7*((COLUMN()-COLUMN(rw_LoadOrigin)-1)-1))</f>
        <v>51</v>
      </c>
      <c r="L34" s="56" t="n">
        <f aca="false">(ResourceWeekStart+7*((COLUMN()-COLUMN(rw_LoadOrigin)-1)-1))</f>
        <v>58</v>
      </c>
      <c r="M34" s="56" t="n">
        <f aca="false">(ResourceWeekStart+7*((COLUMN()-COLUMN(rw_LoadOrigin)-1)-1))</f>
        <v>65</v>
      </c>
      <c r="N34" s="56" t="n">
        <f aca="false">(ResourceWeekStart+7*((COLUMN()-COLUMN(rw_LoadOrigin)-1)-1))</f>
        <v>72</v>
      </c>
      <c r="O34" s="56" t="n">
        <f aca="false">(ResourceWeekStart+7*((COLUMN()-COLUMN(rw_LoadOrigin)-1)-1))</f>
        <v>79</v>
      </c>
      <c r="P34" s="56" t="n">
        <f aca="false">(ResourceWeekStart+7*((COLUMN()-COLUMN(rw_LoadOrigin)-1)-1))</f>
        <v>86</v>
      </c>
      <c r="Q34" s="56" t="n">
        <f aca="false">(ResourceWeekStart+7*((COLUMN()-COLUMN(rw_LoadOrigin)-1)-1))</f>
        <v>93</v>
      </c>
      <c r="R34" s="56" t="n">
        <f aca="false">(ResourceWeekStart+7*((COLUMN()-COLUMN(rw_LoadOrigin)-1)-1))</f>
        <v>100</v>
      </c>
      <c r="S34" s="56" t="n">
        <f aca="false">(ResourceWeekStart+7*((COLUMN()-COLUMN(rw_LoadOrigin)-1)-1))</f>
        <v>107</v>
      </c>
      <c r="T34" s="56" t="n">
        <f aca="false">(ResourceWeekStart+7*((COLUMN()-COLUMN(rw_LoadOrigin)-1)-1))</f>
        <v>114</v>
      </c>
      <c r="U34" s="56" t="n">
        <f aca="false">(ResourceWeekStart+7*((COLUMN()-COLUMN(rw_LoadOrigin)-1)-1))</f>
        <v>121</v>
      </c>
      <c r="V34" s="56" t="n">
        <f aca="false">(ResourceWeekStart+7*((COLUMN()-COLUMN(rw_LoadOrigin)-1)-1))</f>
        <v>128</v>
      </c>
      <c r="W34" s="56" t="n">
        <f aca="false">(ResourceWeekStart+7*((COLUMN()-COLUMN(rw_LoadOrigin)-1)-1))</f>
        <v>135</v>
      </c>
      <c r="X34" s="56" t="n">
        <f aca="false">(ResourceWeekStart+7*((COLUMN()-COLUMN(rw_LoadOrigin)-1)-1))</f>
        <v>142</v>
      </c>
      <c r="Y34" s="56" t="n">
        <f aca="false">(ResourceWeekStart+7*((COLUMN()-COLUMN(rw_LoadOrigin)-1)-1))</f>
        <v>149</v>
      </c>
      <c r="Z34" s="56" t="n">
        <f aca="false">(ResourceWeekStart+7*((COLUMN()-COLUMN(rw_LoadOrigin)-1)-1))</f>
        <v>156</v>
      </c>
      <c r="AA34" s="56" t="n">
        <f aca="false">(ResourceWeekStart+7*((COLUMN()-COLUMN(rw_LoadOrigin)-1)-1))</f>
        <v>163</v>
      </c>
      <c r="AB34" s="56" t="n">
        <f aca="false">(ResourceWeekStart+7*((COLUMN()-COLUMN(rw_LoadOrigin)-1)-1))</f>
        <v>170</v>
      </c>
      <c r="AC34" s="56" t="n">
        <f aca="false">(ResourceWeekStart+7*((COLUMN()-COLUMN(rw_LoadOrigin)-1)-1))</f>
        <v>177</v>
      </c>
    </row>
    <row r="35" customFormat="false" ht="15" hidden="false" customHeight="false" outlineLevel="0" collapsed="false">
      <c r="B35" s="57" t="s">
        <v>244</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5</v>
      </c>
      <c r="P35" s="58" t="n">
        <f aca="false">NETWORKDAYS.INTL((ResourceWeekStart+7*((COLUMN()-COLUMN(rw_LoadOrigin)-1)-1)),(ResourceWeekStart+7*((COLUMN()-COLUMN(rw_LoadOrigin)-1)-1))+6,WorkWeek,Holidays)</f>
        <v>5</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9" t="str">
        <f aca="false">IFERROR(IF(INDEX(res_Name,(ROW()-ROW(rw_LoadOrigin)-1))="","",INDEX(res_MaxUnits,(ROW()-ROW(rw_LoadOrigin)-1))),"")</f>
        <v/>
      </c>
      <c r="D36" s="60" t="str">
        <f aca="false">IFERROR(IF(INDEX(res_Name,(ROW()-ROW(rw_LoadOrigin)-1))="","",INDEX(rw_Cum,(ROW()-ROW(rw_LoadOrigin)-1),(COLUMN()-COLUMN(rw_LoadOrigin)-1)+1)-INDEX(rw_Cum,(ROW()-ROW(rw_LoadOrigin)-1),(COLUMN()-COLUMN(rw_LoadOrigin)-1))),"")</f>
        <v/>
      </c>
      <c r="E36" s="60" t="str">
        <f aca="false">IFERROR(IF(INDEX(res_Name,(ROW()-ROW(rw_LoadOrigin)-1))="","",INDEX(rw_Cum,(ROW()-ROW(rw_LoadOrigin)-1),(COLUMN()-COLUMN(rw_LoadOrigin)-1)+1)-INDEX(rw_Cum,(ROW()-ROW(rw_LoadOrigin)-1),(COLUMN()-COLUMN(rw_LoadOrigin)-1))),"")</f>
        <v/>
      </c>
      <c r="F36" s="60" t="str">
        <f aca="false">IFERROR(IF(INDEX(res_Name,(ROW()-ROW(rw_LoadOrigin)-1))="","",INDEX(rw_Cum,(ROW()-ROW(rw_LoadOrigin)-1),(COLUMN()-COLUMN(rw_LoadOrigin)-1)+1)-INDEX(rw_Cum,(ROW()-ROW(rw_LoadOrigin)-1),(COLUMN()-COLUMN(rw_LoadOrigin)-1))),"")</f>
        <v/>
      </c>
      <c r="G36" s="60" t="str">
        <f aca="false">IFERROR(IF(INDEX(res_Name,(ROW()-ROW(rw_LoadOrigin)-1))="","",INDEX(rw_Cum,(ROW()-ROW(rw_LoadOrigin)-1),(COLUMN()-COLUMN(rw_LoadOrigin)-1)+1)-INDEX(rw_Cum,(ROW()-ROW(rw_LoadOrigin)-1),(COLUMN()-COLUMN(rw_LoadOrigin)-1))),"")</f>
        <v/>
      </c>
      <c r="H36" s="60" t="str">
        <f aca="false">IFERROR(IF(INDEX(res_Name,(ROW()-ROW(rw_LoadOrigin)-1))="","",INDEX(rw_Cum,(ROW()-ROW(rw_LoadOrigin)-1),(COLUMN()-COLUMN(rw_LoadOrigin)-1)+1)-INDEX(rw_Cum,(ROW()-ROW(rw_LoadOrigin)-1),(COLUMN()-COLUMN(rw_LoadOrigin)-1))),"")</f>
        <v/>
      </c>
      <c r="I36" s="60" t="str">
        <f aca="false">IFERROR(IF(INDEX(res_Name,(ROW()-ROW(rw_LoadOrigin)-1))="","",INDEX(rw_Cum,(ROW()-ROW(rw_LoadOrigin)-1),(COLUMN()-COLUMN(rw_LoadOrigin)-1)+1)-INDEX(rw_Cum,(ROW()-ROW(rw_LoadOrigin)-1),(COLUMN()-COLUMN(rw_LoadOrigin)-1))),"")</f>
        <v/>
      </c>
      <c r="J36" s="60" t="str">
        <f aca="false">IFERROR(IF(INDEX(res_Name,(ROW()-ROW(rw_LoadOrigin)-1))="","",INDEX(rw_Cum,(ROW()-ROW(rw_LoadOrigin)-1),(COLUMN()-COLUMN(rw_LoadOrigin)-1)+1)-INDEX(rw_Cum,(ROW()-ROW(rw_LoadOrigin)-1),(COLUMN()-COLUMN(rw_LoadOrigin)-1))),"")</f>
        <v/>
      </c>
      <c r="K36" s="60" t="str">
        <f aca="false">IFERROR(IF(INDEX(res_Name,(ROW()-ROW(rw_LoadOrigin)-1))="","",INDEX(rw_Cum,(ROW()-ROW(rw_LoadOrigin)-1),(COLUMN()-COLUMN(rw_LoadOrigin)-1)+1)-INDEX(rw_Cum,(ROW()-ROW(rw_LoadOrigin)-1),(COLUMN()-COLUMN(rw_LoadOrigin)-1))),"")</f>
        <v/>
      </c>
      <c r="L36" s="60" t="str">
        <f aca="false">IFERROR(IF(INDEX(res_Name,(ROW()-ROW(rw_LoadOrigin)-1))="","",INDEX(rw_Cum,(ROW()-ROW(rw_LoadOrigin)-1),(COLUMN()-COLUMN(rw_LoadOrigin)-1)+1)-INDEX(rw_Cum,(ROW()-ROW(rw_LoadOrigin)-1),(COLUMN()-COLUMN(rw_LoadOrigin)-1))),"")</f>
        <v/>
      </c>
      <c r="M36" s="60" t="str">
        <f aca="false">IFERROR(IF(INDEX(res_Name,(ROW()-ROW(rw_LoadOrigin)-1))="","",INDEX(rw_Cum,(ROW()-ROW(rw_LoadOrigin)-1),(COLUMN()-COLUMN(rw_LoadOrigin)-1)+1)-INDEX(rw_Cum,(ROW()-ROW(rw_LoadOrigin)-1),(COLUMN()-COLUMN(rw_LoadOrigin)-1))),"")</f>
        <v/>
      </c>
      <c r="N36" s="60" t="str">
        <f aca="false">IFERROR(IF(INDEX(res_Name,(ROW()-ROW(rw_LoadOrigin)-1))="","",INDEX(rw_Cum,(ROW()-ROW(rw_LoadOrigin)-1),(COLUMN()-COLUMN(rw_LoadOrigin)-1)+1)-INDEX(rw_Cum,(ROW()-ROW(rw_LoadOrigin)-1),(COLUMN()-COLUMN(rw_LoadOrigin)-1))),"")</f>
        <v/>
      </c>
      <c r="O36" s="60" t="str">
        <f aca="false">IFERROR(IF(INDEX(res_Name,(ROW()-ROW(rw_LoadOrigin)-1))="","",INDEX(rw_Cum,(ROW()-ROW(rw_LoadOrigin)-1),(COLUMN()-COLUMN(rw_LoadOrigin)-1)+1)-INDEX(rw_Cum,(ROW()-ROW(rw_LoadOrigin)-1),(COLUMN()-COLUMN(rw_LoadOrigin)-1))),"")</f>
        <v/>
      </c>
      <c r="P36" s="60" t="str">
        <f aca="false">IFERROR(IF(INDEX(res_Name,(ROW()-ROW(rw_LoadOrigin)-1))="","",INDEX(rw_Cum,(ROW()-ROW(rw_LoadOrigin)-1),(COLUMN()-COLUMN(rw_LoadOrigin)-1)+1)-INDEX(rw_Cum,(ROW()-ROW(rw_LoadOrigin)-1),(COLUMN()-COLUMN(rw_LoadOrigin)-1))),"")</f>
        <v/>
      </c>
      <c r="Q36" s="60" t="str">
        <f aca="false">IFERROR(IF(INDEX(res_Name,(ROW()-ROW(rw_LoadOrigin)-1))="","",INDEX(rw_Cum,(ROW()-ROW(rw_LoadOrigin)-1),(COLUMN()-COLUMN(rw_LoadOrigin)-1)+1)-INDEX(rw_Cum,(ROW()-ROW(rw_LoadOrigin)-1),(COLUMN()-COLUMN(rw_LoadOrigin)-1))),"")</f>
        <v/>
      </c>
      <c r="R36" s="60" t="str">
        <f aca="false">IFERROR(IF(INDEX(res_Name,(ROW()-ROW(rw_LoadOrigin)-1))="","",INDEX(rw_Cum,(ROW()-ROW(rw_LoadOrigin)-1),(COLUMN()-COLUMN(rw_LoadOrigin)-1)+1)-INDEX(rw_Cum,(ROW()-ROW(rw_LoadOrigin)-1),(COLUMN()-COLUMN(rw_LoadOrigin)-1))),"")</f>
        <v/>
      </c>
      <c r="S36" s="60" t="str">
        <f aca="false">IFERROR(IF(INDEX(res_Name,(ROW()-ROW(rw_LoadOrigin)-1))="","",INDEX(rw_Cum,(ROW()-ROW(rw_LoadOrigin)-1),(COLUMN()-COLUMN(rw_LoadOrigin)-1)+1)-INDEX(rw_Cum,(ROW()-ROW(rw_LoadOrigin)-1),(COLUMN()-COLUMN(rw_LoadOrigin)-1))),"")</f>
        <v/>
      </c>
      <c r="T36" s="60" t="str">
        <f aca="false">IFERROR(IF(INDEX(res_Name,(ROW()-ROW(rw_LoadOrigin)-1))="","",INDEX(rw_Cum,(ROW()-ROW(rw_LoadOrigin)-1),(COLUMN()-COLUMN(rw_LoadOrigin)-1)+1)-INDEX(rw_Cum,(ROW()-ROW(rw_LoadOrigin)-1),(COLUMN()-COLUMN(rw_LoadOrigin)-1))),"")</f>
        <v/>
      </c>
      <c r="U36" s="60" t="str">
        <f aca="false">IFERROR(IF(INDEX(res_Name,(ROW()-ROW(rw_LoadOrigin)-1))="","",INDEX(rw_Cum,(ROW()-ROW(rw_LoadOrigin)-1),(COLUMN()-COLUMN(rw_LoadOrigin)-1)+1)-INDEX(rw_Cum,(ROW()-ROW(rw_LoadOrigin)-1),(COLUMN()-COLUMN(rw_LoadOrigin)-1))),"")</f>
        <v/>
      </c>
      <c r="V36" s="60" t="str">
        <f aca="false">IFERROR(IF(INDEX(res_Name,(ROW()-ROW(rw_LoadOrigin)-1))="","",INDEX(rw_Cum,(ROW()-ROW(rw_LoadOrigin)-1),(COLUMN()-COLUMN(rw_LoadOrigin)-1)+1)-INDEX(rw_Cum,(ROW()-ROW(rw_LoadOrigin)-1),(COLUMN()-COLUMN(rw_LoadOrigin)-1))),"")</f>
        <v/>
      </c>
      <c r="W36" s="60" t="str">
        <f aca="false">IFERROR(IF(INDEX(res_Name,(ROW()-ROW(rw_LoadOrigin)-1))="","",INDEX(rw_Cum,(ROW()-ROW(rw_LoadOrigin)-1),(COLUMN()-COLUMN(rw_LoadOrigin)-1)+1)-INDEX(rw_Cum,(ROW()-ROW(rw_LoadOrigin)-1),(COLUMN()-COLUMN(rw_LoadOrigin)-1))),"")</f>
        <v/>
      </c>
      <c r="X36" s="60" t="str">
        <f aca="false">IFERROR(IF(INDEX(res_Name,(ROW()-ROW(rw_LoadOrigin)-1))="","",INDEX(rw_Cum,(ROW()-ROW(rw_LoadOrigin)-1),(COLUMN()-COLUMN(rw_LoadOrigin)-1)+1)-INDEX(rw_Cum,(ROW()-ROW(rw_LoadOrigin)-1),(COLUMN()-COLUMN(rw_LoadOrigin)-1))),"")</f>
        <v/>
      </c>
      <c r="Y36" s="60" t="str">
        <f aca="false">IFERROR(IF(INDEX(res_Name,(ROW()-ROW(rw_LoadOrigin)-1))="","",INDEX(rw_Cum,(ROW()-ROW(rw_LoadOrigin)-1),(COLUMN()-COLUMN(rw_LoadOrigin)-1)+1)-INDEX(rw_Cum,(ROW()-ROW(rw_LoadOrigin)-1),(COLUMN()-COLUMN(rw_LoadOrigin)-1))),"")</f>
        <v/>
      </c>
      <c r="Z36" s="60" t="str">
        <f aca="false">IFERROR(IF(INDEX(res_Name,(ROW()-ROW(rw_LoadOrigin)-1))="","",INDEX(rw_Cum,(ROW()-ROW(rw_LoadOrigin)-1),(COLUMN()-COLUMN(rw_LoadOrigin)-1)+1)-INDEX(rw_Cum,(ROW()-ROW(rw_LoadOrigin)-1),(COLUMN()-COLUMN(rw_LoadOrigin)-1))),"")</f>
        <v/>
      </c>
      <c r="AA36" s="60" t="str">
        <f aca="false">IFERROR(IF(INDEX(res_Name,(ROW()-ROW(rw_LoadOrigin)-1))="","",INDEX(rw_Cum,(ROW()-ROW(rw_LoadOrigin)-1),(COLUMN()-COLUMN(rw_LoadOrigin)-1)+1)-INDEX(rw_Cum,(ROW()-ROW(rw_LoadOrigin)-1),(COLUMN()-COLUMN(rw_LoadOrigin)-1))),"")</f>
        <v/>
      </c>
      <c r="AB36" s="60" t="str">
        <f aca="false">IFERROR(IF(INDEX(res_Name,(ROW()-ROW(rw_LoadOrigin)-1))="","",INDEX(rw_Cum,(ROW()-ROW(rw_LoadOrigin)-1),(COLUMN()-COLUMN(rw_LoadOrigin)-1)+1)-INDEX(rw_Cum,(ROW()-ROW(rw_LoadOrigin)-1),(COLUMN()-COLUMN(rw_LoadOrigin)-1))),"")</f>
        <v/>
      </c>
      <c r="AC36" s="60"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9" t="str">
        <f aca="false">IFERROR(IF(INDEX(res_Name,(ROW()-ROW(rw_LoadOrigin)-1))="","",INDEX(res_MaxUnits,(ROW()-ROW(rw_LoadOrigin)-1))),"")</f>
        <v/>
      </c>
      <c r="D37" s="60" t="str">
        <f aca="false">IFERROR(IF(INDEX(res_Name,(ROW()-ROW(rw_LoadOrigin)-1))="","",INDEX(rw_Cum,(ROW()-ROW(rw_LoadOrigin)-1),(COLUMN()-COLUMN(rw_LoadOrigin)-1)+1)-INDEX(rw_Cum,(ROW()-ROW(rw_LoadOrigin)-1),(COLUMN()-COLUMN(rw_LoadOrigin)-1))),"")</f>
        <v/>
      </c>
      <c r="E37" s="60" t="str">
        <f aca="false">IFERROR(IF(INDEX(res_Name,(ROW()-ROW(rw_LoadOrigin)-1))="","",INDEX(rw_Cum,(ROW()-ROW(rw_LoadOrigin)-1),(COLUMN()-COLUMN(rw_LoadOrigin)-1)+1)-INDEX(rw_Cum,(ROW()-ROW(rw_LoadOrigin)-1),(COLUMN()-COLUMN(rw_LoadOrigin)-1))),"")</f>
        <v/>
      </c>
      <c r="F37" s="60" t="str">
        <f aca="false">IFERROR(IF(INDEX(res_Name,(ROW()-ROW(rw_LoadOrigin)-1))="","",INDEX(rw_Cum,(ROW()-ROW(rw_LoadOrigin)-1),(COLUMN()-COLUMN(rw_LoadOrigin)-1)+1)-INDEX(rw_Cum,(ROW()-ROW(rw_LoadOrigin)-1),(COLUMN()-COLUMN(rw_LoadOrigin)-1))),"")</f>
        <v/>
      </c>
      <c r="G37" s="60" t="str">
        <f aca="false">IFERROR(IF(INDEX(res_Name,(ROW()-ROW(rw_LoadOrigin)-1))="","",INDEX(rw_Cum,(ROW()-ROW(rw_LoadOrigin)-1),(COLUMN()-COLUMN(rw_LoadOrigin)-1)+1)-INDEX(rw_Cum,(ROW()-ROW(rw_LoadOrigin)-1),(COLUMN()-COLUMN(rw_LoadOrigin)-1))),"")</f>
        <v/>
      </c>
      <c r="H37" s="60" t="str">
        <f aca="false">IFERROR(IF(INDEX(res_Name,(ROW()-ROW(rw_LoadOrigin)-1))="","",INDEX(rw_Cum,(ROW()-ROW(rw_LoadOrigin)-1),(COLUMN()-COLUMN(rw_LoadOrigin)-1)+1)-INDEX(rw_Cum,(ROW()-ROW(rw_LoadOrigin)-1),(COLUMN()-COLUMN(rw_LoadOrigin)-1))),"")</f>
        <v/>
      </c>
      <c r="I37" s="60" t="str">
        <f aca="false">IFERROR(IF(INDEX(res_Name,(ROW()-ROW(rw_LoadOrigin)-1))="","",INDEX(rw_Cum,(ROW()-ROW(rw_LoadOrigin)-1),(COLUMN()-COLUMN(rw_LoadOrigin)-1)+1)-INDEX(rw_Cum,(ROW()-ROW(rw_LoadOrigin)-1),(COLUMN()-COLUMN(rw_LoadOrigin)-1))),"")</f>
        <v/>
      </c>
      <c r="J37" s="60" t="str">
        <f aca="false">IFERROR(IF(INDEX(res_Name,(ROW()-ROW(rw_LoadOrigin)-1))="","",INDEX(rw_Cum,(ROW()-ROW(rw_LoadOrigin)-1),(COLUMN()-COLUMN(rw_LoadOrigin)-1)+1)-INDEX(rw_Cum,(ROW()-ROW(rw_LoadOrigin)-1),(COLUMN()-COLUMN(rw_LoadOrigin)-1))),"")</f>
        <v/>
      </c>
      <c r="K37" s="60" t="str">
        <f aca="false">IFERROR(IF(INDEX(res_Name,(ROW()-ROW(rw_LoadOrigin)-1))="","",INDEX(rw_Cum,(ROW()-ROW(rw_LoadOrigin)-1),(COLUMN()-COLUMN(rw_LoadOrigin)-1)+1)-INDEX(rw_Cum,(ROW()-ROW(rw_LoadOrigin)-1),(COLUMN()-COLUMN(rw_LoadOrigin)-1))),"")</f>
        <v/>
      </c>
      <c r="L37" s="60" t="str">
        <f aca="false">IFERROR(IF(INDEX(res_Name,(ROW()-ROW(rw_LoadOrigin)-1))="","",INDEX(rw_Cum,(ROW()-ROW(rw_LoadOrigin)-1),(COLUMN()-COLUMN(rw_LoadOrigin)-1)+1)-INDEX(rw_Cum,(ROW()-ROW(rw_LoadOrigin)-1),(COLUMN()-COLUMN(rw_LoadOrigin)-1))),"")</f>
        <v/>
      </c>
      <c r="M37" s="60" t="str">
        <f aca="false">IFERROR(IF(INDEX(res_Name,(ROW()-ROW(rw_LoadOrigin)-1))="","",INDEX(rw_Cum,(ROW()-ROW(rw_LoadOrigin)-1),(COLUMN()-COLUMN(rw_LoadOrigin)-1)+1)-INDEX(rw_Cum,(ROW()-ROW(rw_LoadOrigin)-1),(COLUMN()-COLUMN(rw_LoadOrigin)-1))),"")</f>
        <v/>
      </c>
      <c r="N37" s="60" t="str">
        <f aca="false">IFERROR(IF(INDEX(res_Name,(ROW()-ROW(rw_LoadOrigin)-1))="","",INDEX(rw_Cum,(ROW()-ROW(rw_LoadOrigin)-1),(COLUMN()-COLUMN(rw_LoadOrigin)-1)+1)-INDEX(rw_Cum,(ROW()-ROW(rw_LoadOrigin)-1),(COLUMN()-COLUMN(rw_LoadOrigin)-1))),"")</f>
        <v/>
      </c>
      <c r="O37" s="60" t="str">
        <f aca="false">IFERROR(IF(INDEX(res_Name,(ROW()-ROW(rw_LoadOrigin)-1))="","",INDEX(rw_Cum,(ROW()-ROW(rw_LoadOrigin)-1),(COLUMN()-COLUMN(rw_LoadOrigin)-1)+1)-INDEX(rw_Cum,(ROW()-ROW(rw_LoadOrigin)-1),(COLUMN()-COLUMN(rw_LoadOrigin)-1))),"")</f>
        <v/>
      </c>
      <c r="P37" s="60" t="str">
        <f aca="false">IFERROR(IF(INDEX(res_Name,(ROW()-ROW(rw_LoadOrigin)-1))="","",INDEX(rw_Cum,(ROW()-ROW(rw_LoadOrigin)-1),(COLUMN()-COLUMN(rw_LoadOrigin)-1)+1)-INDEX(rw_Cum,(ROW()-ROW(rw_LoadOrigin)-1),(COLUMN()-COLUMN(rw_LoadOrigin)-1))),"")</f>
        <v/>
      </c>
      <c r="Q37" s="60" t="str">
        <f aca="false">IFERROR(IF(INDEX(res_Name,(ROW()-ROW(rw_LoadOrigin)-1))="","",INDEX(rw_Cum,(ROW()-ROW(rw_LoadOrigin)-1),(COLUMN()-COLUMN(rw_LoadOrigin)-1)+1)-INDEX(rw_Cum,(ROW()-ROW(rw_LoadOrigin)-1),(COLUMN()-COLUMN(rw_LoadOrigin)-1))),"")</f>
        <v/>
      </c>
      <c r="R37" s="60" t="str">
        <f aca="false">IFERROR(IF(INDEX(res_Name,(ROW()-ROW(rw_LoadOrigin)-1))="","",INDEX(rw_Cum,(ROW()-ROW(rw_LoadOrigin)-1),(COLUMN()-COLUMN(rw_LoadOrigin)-1)+1)-INDEX(rw_Cum,(ROW()-ROW(rw_LoadOrigin)-1),(COLUMN()-COLUMN(rw_LoadOrigin)-1))),"")</f>
        <v/>
      </c>
      <c r="S37" s="60" t="str">
        <f aca="false">IFERROR(IF(INDEX(res_Name,(ROW()-ROW(rw_LoadOrigin)-1))="","",INDEX(rw_Cum,(ROW()-ROW(rw_LoadOrigin)-1),(COLUMN()-COLUMN(rw_LoadOrigin)-1)+1)-INDEX(rw_Cum,(ROW()-ROW(rw_LoadOrigin)-1),(COLUMN()-COLUMN(rw_LoadOrigin)-1))),"")</f>
        <v/>
      </c>
      <c r="T37" s="60" t="str">
        <f aca="false">IFERROR(IF(INDEX(res_Name,(ROW()-ROW(rw_LoadOrigin)-1))="","",INDEX(rw_Cum,(ROW()-ROW(rw_LoadOrigin)-1),(COLUMN()-COLUMN(rw_LoadOrigin)-1)+1)-INDEX(rw_Cum,(ROW()-ROW(rw_LoadOrigin)-1),(COLUMN()-COLUMN(rw_LoadOrigin)-1))),"")</f>
        <v/>
      </c>
      <c r="U37" s="60" t="str">
        <f aca="false">IFERROR(IF(INDEX(res_Name,(ROW()-ROW(rw_LoadOrigin)-1))="","",INDEX(rw_Cum,(ROW()-ROW(rw_LoadOrigin)-1),(COLUMN()-COLUMN(rw_LoadOrigin)-1)+1)-INDEX(rw_Cum,(ROW()-ROW(rw_LoadOrigin)-1),(COLUMN()-COLUMN(rw_LoadOrigin)-1))),"")</f>
        <v/>
      </c>
      <c r="V37" s="60" t="str">
        <f aca="false">IFERROR(IF(INDEX(res_Name,(ROW()-ROW(rw_LoadOrigin)-1))="","",INDEX(rw_Cum,(ROW()-ROW(rw_LoadOrigin)-1),(COLUMN()-COLUMN(rw_LoadOrigin)-1)+1)-INDEX(rw_Cum,(ROW()-ROW(rw_LoadOrigin)-1),(COLUMN()-COLUMN(rw_LoadOrigin)-1))),"")</f>
        <v/>
      </c>
      <c r="W37" s="60" t="str">
        <f aca="false">IFERROR(IF(INDEX(res_Name,(ROW()-ROW(rw_LoadOrigin)-1))="","",INDEX(rw_Cum,(ROW()-ROW(rw_LoadOrigin)-1),(COLUMN()-COLUMN(rw_LoadOrigin)-1)+1)-INDEX(rw_Cum,(ROW()-ROW(rw_LoadOrigin)-1),(COLUMN()-COLUMN(rw_LoadOrigin)-1))),"")</f>
        <v/>
      </c>
      <c r="X37" s="60" t="str">
        <f aca="false">IFERROR(IF(INDEX(res_Name,(ROW()-ROW(rw_LoadOrigin)-1))="","",INDEX(rw_Cum,(ROW()-ROW(rw_LoadOrigin)-1),(COLUMN()-COLUMN(rw_LoadOrigin)-1)+1)-INDEX(rw_Cum,(ROW()-ROW(rw_LoadOrigin)-1),(COLUMN()-COLUMN(rw_LoadOrigin)-1))),"")</f>
        <v/>
      </c>
      <c r="Y37" s="60" t="str">
        <f aca="false">IFERROR(IF(INDEX(res_Name,(ROW()-ROW(rw_LoadOrigin)-1))="","",INDEX(rw_Cum,(ROW()-ROW(rw_LoadOrigin)-1),(COLUMN()-COLUMN(rw_LoadOrigin)-1)+1)-INDEX(rw_Cum,(ROW()-ROW(rw_LoadOrigin)-1),(COLUMN()-COLUMN(rw_LoadOrigin)-1))),"")</f>
        <v/>
      </c>
      <c r="Z37" s="60" t="str">
        <f aca="false">IFERROR(IF(INDEX(res_Name,(ROW()-ROW(rw_LoadOrigin)-1))="","",INDEX(rw_Cum,(ROW()-ROW(rw_LoadOrigin)-1),(COLUMN()-COLUMN(rw_LoadOrigin)-1)+1)-INDEX(rw_Cum,(ROW()-ROW(rw_LoadOrigin)-1),(COLUMN()-COLUMN(rw_LoadOrigin)-1))),"")</f>
        <v/>
      </c>
      <c r="AA37" s="60" t="str">
        <f aca="false">IFERROR(IF(INDEX(res_Name,(ROW()-ROW(rw_LoadOrigin)-1))="","",INDEX(rw_Cum,(ROW()-ROW(rw_LoadOrigin)-1),(COLUMN()-COLUMN(rw_LoadOrigin)-1)+1)-INDEX(rw_Cum,(ROW()-ROW(rw_LoadOrigin)-1),(COLUMN()-COLUMN(rw_LoadOrigin)-1))),"")</f>
        <v/>
      </c>
      <c r="AB37" s="60" t="str">
        <f aca="false">IFERROR(IF(INDEX(res_Name,(ROW()-ROW(rw_LoadOrigin)-1))="","",INDEX(rw_Cum,(ROW()-ROW(rw_LoadOrigin)-1),(COLUMN()-COLUMN(rw_LoadOrigin)-1)+1)-INDEX(rw_Cum,(ROW()-ROW(rw_LoadOrigin)-1),(COLUMN()-COLUMN(rw_LoadOrigin)-1))),"")</f>
        <v/>
      </c>
      <c r="AC37" s="60"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9" t="str">
        <f aca="false">IFERROR(IF(INDEX(res_Name,(ROW()-ROW(rw_LoadOrigin)-1))="","",INDEX(res_MaxUnits,(ROW()-ROW(rw_LoadOrigin)-1))),"")</f>
        <v/>
      </c>
      <c r="D38" s="60" t="str">
        <f aca="false">IFERROR(IF(INDEX(res_Name,(ROW()-ROW(rw_LoadOrigin)-1))="","",INDEX(rw_Cum,(ROW()-ROW(rw_LoadOrigin)-1),(COLUMN()-COLUMN(rw_LoadOrigin)-1)+1)-INDEX(rw_Cum,(ROW()-ROW(rw_LoadOrigin)-1),(COLUMN()-COLUMN(rw_LoadOrigin)-1))),"")</f>
        <v/>
      </c>
      <c r="E38" s="60" t="str">
        <f aca="false">IFERROR(IF(INDEX(res_Name,(ROW()-ROW(rw_LoadOrigin)-1))="","",INDEX(rw_Cum,(ROW()-ROW(rw_LoadOrigin)-1),(COLUMN()-COLUMN(rw_LoadOrigin)-1)+1)-INDEX(rw_Cum,(ROW()-ROW(rw_LoadOrigin)-1),(COLUMN()-COLUMN(rw_LoadOrigin)-1))),"")</f>
        <v/>
      </c>
      <c r="F38" s="60" t="str">
        <f aca="false">IFERROR(IF(INDEX(res_Name,(ROW()-ROW(rw_LoadOrigin)-1))="","",INDEX(rw_Cum,(ROW()-ROW(rw_LoadOrigin)-1),(COLUMN()-COLUMN(rw_LoadOrigin)-1)+1)-INDEX(rw_Cum,(ROW()-ROW(rw_LoadOrigin)-1),(COLUMN()-COLUMN(rw_LoadOrigin)-1))),"")</f>
        <v/>
      </c>
      <c r="G38" s="60" t="str">
        <f aca="false">IFERROR(IF(INDEX(res_Name,(ROW()-ROW(rw_LoadOrigin)-1))="","",INDEX(rw_Cum,(ROW()-ROW(rw_LoadOrigin)-1),(COLUMN()-COLUMN(rw_LoadOrigin)-1)+1)-INDEX(rw_Cum,(ROW()-ROW(rw_LoadOrigin)-1),(COLUMN()-COLUMN(rw_LoadOrigin)-1))),"")</f>
        <v/>
      </c>
      <c r="H38" s="60" t="str">
        <f aca="false">IFERROR(IF(INDEX(res_Name,(ROW()-ROW(rw_LoadOrigin)-1))="","",INDEX(rw_Cum,(ROW()-ROW(rw_LoadOrigin)-1),(COLUMN()-COLUMN(rw_LoadOrigin)-1)+1)-INDEX(rw_Cum,(ROW()-ROW(rw_LoadOrigin)-1),(COLUMN()-COLUMN(rw_LoadOrigin)-1))),"")</f>
        <v/>
      </c>
      <c r="I38" s="60" t="str">
        <f aca="false">IFERROR(IF(INDEX(res_Name,(ROW()-ROW(rw_LoadOrigin)-1))="","",INDEX(rw_Cum,(ROW()-ROW(rw_LoadOrigin)-1),(COLUMN()-COLUMN(rw_LoadOrigin)-1)+1)-INDEX(rw_Cum,(ROW()-ROW(rw_LoadOrigin)-1),(COLUMN()-COLUMN(rw_LoadOrigin)-1))),"")</f>
        <v/>
      </c>
      <c r="J38" s="60" t="str">
        <f aca="false">IFERROR(IF(INDEX(res_Name,(ROW()-ROW(rw_LoadOrigin)-1))="","",INDEX(rw_Cum,(ROW()-ROW(rw_LoadOrigin)-1),(COLUMN()-COLUMN(rw_LoadOrigin)-1)+1)-INDEX(rw_Cum,(ROW()-ROW(rw_LoadOrigin)-1),(COLUMN()-COLUMN(rw_LoadOrigin)-1))),"")</f>
        <v/>
      </c>
      <c r="K38" s="60" t="str">
        <f aca="false">IFERROR(IF(INDEX(res_Name,(ROW()-ROW(rw_LoadOrigin)-1))="","",INDEX(rw_Cum,(ROW()-ROW(rw_LoadOrigin)-1),(COLUMN()-COLUMN(rw_LoadOrigin)-1)+1)-INDEX(rw_Cum,(ROW()-ROW(rw_LoadOrigin)-1),(COLUMN()-COLUMN(rw_LoadOrigin)-1))),"")</f>
        <v/>
      </c>
      <c r="L38" s="60" t="str">
        <f aca="false">IFERROR(IF(INDEX(res_Name,(ROW()-ROW(rw_LoadOrigin)-1))="","",INDEX(rw_Cum,(ROW()-ROW(rw_LoadOrigin)-1),(COLUMN()-COLUMN(rw_LoadOrigin)-1)+1)-INDEX(rw_Cum,(ROW()-ROW(rw_LoadOrigin)-1),(COLUMN()-COLUMN(rw_LoadOrigin)-1))),"")</f>
        <v/>
      </c>
      <c r="M38" s="60" t="str">
        <f aca="false">IFERROR(IF(INDEX(res_Name,(ROW()-ROW(rw_LoadOrigin)-1))="","",INDEX(rw_Cum,(ROW()-ROW(rw_LoadOrigin)-1),(COLUMN()-COLUMN(rw_LoadOrigin)-1)+1)-INDEX(rw_Cum,(ROW()-ROW(rw_LoadOrigin)-1),(COLUMN()-COLUMN(rw_LoadOrigin)-1))),"")</f>
        <v/>
      </c>
      <c r="N38" s="60" t="str">
        <f aca="false">IFERROR(IF(INDEX(res_Name,(ROW()-ROW(rw_LoadOrigin)-1))="","",INDEX(rw_Cum,(ROW()-ROW(rw_LoadOrigin)-1),(COLUMN()-COLUMN(rw_LoadOrigin)-1)+1)-INDEX(rw_Cum,(ROW()-ROW(rw_LoadOrigin)-1),(COLUMN()-COLUMN(rw_LoadOrigin)-1))),"")</f>
        <v/>
      </c>
      <c r="O38" s="60" t="str">
        <f aca="false">IFERROR(IF(INDEX(res_Name,(ROW()-ROW(rw_LoadOrigin)-1))="","",INDEX(rw_Cum,(ROW()-ROW(rw_LoadOrigin)-1),(COLUMN()-COLUMN(rw_LoadOrigin)-1)+1)-INDEX(rw_Cum,(ROW()-ROW(rw_LoadOrigin)-1),(COLUMN()-COLUMN(rw_LoadOrigin)-1))),"")</f>
        <v/>
      </c>
      <c r="P38" s="60" t="str">
        <f aca="false">IFERROR(IF(INDEX(res_Name,(ROW()-ROW(rw_LoadOrigin)-1))="","",INDEX(rw_Cum,(ROW()-ROW(rw_LoadOrigin)-1),(COLUMN()-COLUMN(rw_LoadOrigin)-1)+1)-INDEX(rw_Cum,(ROW()-ROW(rw_LoadOrigin)-1),(COLUMN()-COLUMN(rw_LoadOrigin)-1))),"")</f>
        <v/>
      </c>
      <c r="Q38" s="60" t="str">
        <f aca="false">IFERROR(IF(INDEX(res_Name,(ROW()-ROW(rw_LoadOrigin)-1))="","",INDEX(rw_Cum,(ROW()-ROW(rw_LoadOrigin)-1),(COLUMN()-COLUMN(rw_LoadOrigin)-1)+1)-INDEX(rw_Cum,(ROW()-ROW(rw_LoadOrigin)-1),(COLUMN()-COLUMN(rw_LoadOrigin)-1))),"")</f>
        <v/>
      </c>
      <c r="R38" s="60" t="str">
        <f aca="false">IFERROR(IF(INDEX(res_Name,(ROW()-ROW(rw_LoadOrigin)-1))="","",INDEX(rw_Cum,(ROW()-ROW(rw_LoadOrigin)-1),(COLUMN()-COLUMN(rw_LoadOrigin)-1)+1)-INDEX(rw_Cum,(ROW()-ROW(rw_LoadOrigin)-1),(COLUMN()-COLUMN(rw_LoadOrigin)-1))),"")</f>
        <v/>
      </c>
      <c r="S38" s="60" t="str">
        <f aca="false">IFERROR(IF(INDEX(res_Name,(ROW()-ROW(rw_LoadOrigin)-1))="","",INDEX(rw_Cum,(ROW()-ROW(rw_LoadOrigin)-1),(COLUMN()-COLUMN(rw_LoadOrigin)-1)+1)-INDEX(rw_Cum,(ROW()-ROW(rw_LoadOrigin)-1),(COLUMN()-COLUMN(rw_LoadOrigin)-1))),"")</f>
        <v/>
      </c>
      <c r="T38" s="60" t="str">
        <f aca="false">IFERROR(IF(INDEX(res_Name,(ROW()-ROW(rw_LoadOrigin)-1))="","",INDEX(rw_Cum,(ROW()-ROW(rw_LoadOrigin)-1),(COLUMN()-COLUMN(rw_LoadOrigin)-1)+1)-INDEX(rw_Cum,(ROW()-ROW(rw_LoadOrigin)-1),(COLUMN()-COLUMN(rw_LoadOrigin)-1))),"")</f>
        <v/>
      </c>
      <c r="U38" s="60" t="str">
        <f aca="false">IFERROR(IF(INDEX(res_Name,(ROW()-ROW(rw_LoadOrigin)-1))="","",INDEX(rw_Cum,(ROW()-ROW(rw_LoadOrigin)-1),(COLUMN()-COLUMN(rw_LoadOrigin)-1)+1)-INDEX(rw_Cum,(ROW()-ROW(rw_LoadOrigin)-1),(COLUMN()-COLUMN(rw_LoadOrigin)-1))),"")</f>
        <v/>
      </c>
      <c r="V38" s="60" t="str">
        <f aca="false">IFERROR(IF(INDEX(res_Name,(ROW()-ROW(rw_LoadOrigin)-1))="","",INDEX(rw_Cum,(ROW()-ROW(rw_LoadOrigin)-1),(COLUMN()-COLUMN(rw_LoadOrigin)-1)+1)-INDEX(rw_Cum,(ROW()-ROW(rw_LoadOrigin)-1),(COLUMN()-COLUMN(rw_LoadOrigin)-1))),"")</f>
        <v/>
      </c>
      <c r="W38" s="60" t="str">
        <f aca="false">IFERROR(IF(INDEX(res_Name,(ROW()-ROW(rw_LoadOrigin)-1))="","",INDEX(rw_Cum,(ROW()-ROW(rw_LoadOrigin)-1),(COLUMN()-COLUMN(rw_LoadOrigin)-1)+1)-INDEX(rw_Cum,(ROW()-ROW(rw_LoadOrigin)-1),(COLUMN()-COLUMN(rw_LoadOrigin)-1))),"")</f>
        <v/>
      </c>
      <c r="X38" s="60" t="str">
        <f aca="false">IFERROR(IF(INDEX(res_Name,(ROW()-ROW(rw_LoadOrigin)-1))="","",INDEX(rw_Cum,(ROW()-ROW(rw_LoadOrigin)-1),(COLUMN()-COLUMN(rw_LoadOrigin)-1)+1)-INDEX(rw_Cum,(ROW()-ROW(rw_LoadOrigin)-1),(COLUMN()-COLUMN(rw_LoadOrigin)-1))),"")</f>
        <v/>
      </c>
      <c r="Y38" s="60" t="str">
        <f aca="false">IFERROR(IF(INDEX(res_Name,(ROW()-ROW(rw_LoadOrigin)-1))="","",INDEX(rw_Cum,(ROW()-ROW(rw_LoadOrigin)-1),(COLUMN()-COLUMN(rw_LoadOrigin)-1)+1)-INDEX(rw_Cum,(ROW()-ROW(rw_LoadOrigin)-1),(COLUMN()-COLUMN(rw_LoadOrigin)-1))),"")</f>
        <v/>
      </c>
      <c r="Z38" s="60" t="str">
        <f aca="false">IFERROR(IF(INDEX(res_Name,(ROW()-ROW(rw_LoadOrigin)-1))="","",INDEX(rw_Cum,(ROW()-ROW(rw_LoadOrigin)-1),(COLUMN()-COLUMN(rw_LoadOrigin)-1)+1)-INDEX(rw_Cum,(ROW()-ROW(rw_LoadOrigin)-1),(COLUMN()-COLUMN(rw_LoadOrigin)-1))),"")</f>
        <v/>
      </c>
      <c r="AA38" s="60" t="str">
        <f aca="false">IFERROR(IF(INDEX(res_Name,(ROW()-ROW(rw_LoadOrigin)-1))="","",INDEX(rw_Cum,(ROW()-ROW(rw_LoadOrigin)-1),(COLUMN()-COLUMN(rw_LoadOrigin)-1)+1)-INDEX(rw_Cum,(ROW()-ROW(rw_LoadOrigin)-1),(COLUMN()-COLUMN(rw_LoadOrigin)-1))),"")</f>
        <v/>
      </c>
      <c r="AB38" s="60" t="str">
        <f aca="false">IFERROR(IF(INDEX(res_Name,(ROW()-ROW(rw_LoadOrigin)-1))="","",INDEX(rw_Cum,(ROW()-ROW(rw_LoadOrigin)-1),(COLUMN()-COLUMN(rw_LoadOrigin)-1)+1)-INDEX(rw_Cum,(ROW()-ROW(rw_LoadOrigin)-1),(COLUMN()-COLUMN(rw_LoadOrigin)-1))),"")</f>
        <v/>
      </c>
      <c r="AC38" s="60"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9" t="str">
        <f aca="false">IFERROR(IF(INDEX(res_Name,(ROW()-ROW(rw_LoadOrigin)-1))="","",INDEX(res_MaxUnits,(ROW()-ROW(rw_LoadOrigin)-1))),"")</f>
        <v/>
      </c>
      <c r="D39" s="60" t="str">
        <f aca="false">IFERROR(IF(INDEX(res_Name,(ROW()-ROW(rw_LoadOrigin)-1))="","",INDEX(rw_Cum,(ROW()-ROW(rw_LoadOrigin)-1),(COLUMN()-COLUMN(rw_LoadOrigin)-1)+1)-INDEX(rw_Cum,(ROW()-ROW(rw_LoadOrigin)-1),(COLUMN()-COLUMN(rw_LoadOrigin)-1))),"")</f>
        <v/>
      </c>
      <c r="E39" s="60" t="str">
        <f aca="false">IFERROR(IF(INDEX(res_Name,(ROW()-ROW(rw_LoadOrigin)-1))="","",INDEX(rw_Cum,(ROW()-ROW(rw_LoadOrigin)-1),(COLUMN()-COLUMN(rw_LoadOrigin)-1)+1)-INDEX(rw_Cum,(ROW()-ROW(rw_LoadOrigin)-1),(COLUMN()-COLUMN(rw_LoadOrigin)-1))),"")</f>
        <v/>
      </c>
      <c r="F39" s="60" t="str">
        <f aca="false">IFERROR(IF(INDEX(res_Name,(ROW()-ROW(rw_LoadOrigin)-1))="","",INDEX(rw_Cum,(ROW()-ROW(rw_LoadOrigin)-1),(COLUMN()-COLUMN(rw_LoadOrigin)-1)+1)-INDEX(rw_Cum,(ROW()-ROW(rw_LoadOrigin)-1),(COLUMN()-COLUMN(rw_LoadOrigin)-1))),"")</f>
        <v/>
      </c>
      <c r="G39" s="60" t="str">
        <f aca="false">IFERROR(IF(INDEX(res_Name,(ROW()-ROW(rw_LoadOrigin)-1))="","",INDEX(rw_Cum,(ROW()-ROW(rw_LoadOrigin)-1),(COLUMN()-COLUMN(rw_LoadOrigin)-1)+1)-INDEX(rw_Cum,(ROW()-ROW(rw_LoadOrigin)-1),(COLUMN()-COLUMN(rw_LoadOrigin)-1))),"")</f>
        <v/>
      </c>
      <c r="H39" s="60" t="str">
        <f aca="false">IFERROR(IF(INDEX(res_Name,(ROW()-ROW(rw_LoadOrigin)-1))="","",INDEX(rw_Cum,(ROW()-ROW(rw_LoadOrigin)-1),(COLUMN()-COLUMN(rw_LoadOrigin)-1)+1)-INDEX(rw_Cum,(ROW()-ROW(rw_LoadOrigin)-1),(COLUMN()-COLUMN(rw_LoadOrigin)-1))),"")</f>
        <v/>
      </c>
      <c r="I39" s="60" t="str">
        <f aca="false">IFERROR(IF(INDEX(res_Name,(ROW()-ROW(rw_LoadOrigin)-1))="","",INDEX(rw_Cum,(ROW()-ROW(rw_LoadOrigin)-1),(COLUMN()-COLUMN(rw_LoadOrigin)-1)+1)-INDEX(rw_Cum,(ROW()-ROW(rw_LoadOrigin)-1),(COLUMN()-COLUMN(rw_LoadOrigin)-1))),"")</f>
        <v/>
      </c>
      <c r="J39" s="60" t="str">
        <f aca="false">IFERROR(IF(INDEX(res_Name,(ROW()-ROW(rw_LoadOrigin)-1))="","",INDEX(rw_Cum,(ROW()-ROW(rw_LoadOrigin)-1),(COLUMN()-COLUMN(rw_LoadOrigin)-1)+1)-INDEX(rw_Cum,(ROW()-ROW(rw_LoadOrigin)-1),(COLUMN()-COLUMN(rw_LoadOrigin)-1))),"")</f>
        <v/>
      </c>
      <c r="K39" s="60" t="str">
        <f aca="false">IFERROR(IF(INDEX(res_Name,(ROW()-ROW(rw_LoadOrigin)-1))="","",INDEX(rw_Cum,(ROW()-ROW(rw_LoadOrigin)-1),(COLUMN()-COLUMN(rw_LoadOrigin)-1)+1)-INDEX(rw_Cum,(ROW()-ROW(rw_LoadOrigin)-1),(COLUMN()-COLUMN(rw_LoadOrigin)-1))),"")</f>
        <v/>
      </c>
      <c r="L39" s="60" t="str">
        <f aca="false">IFERROR(IF(INDEX(res_Name,(ROW()-ROW(rw_LoadOrigin)-1))="","",INDEX(rw_Cum,(ROW()-ROW(rw_LoadOrigin)-1),(COLUMN()-COLUMN(rw_LoadOrigin)-1)+1)-INDEX(rw_Cum,(ROW()-ROW(rw_LoadOrigin)-1),(COLUMN()-COLUMN(rw_LoadOrigin)-1))),"")</f>
        <v/>
      </c>
      <c r="M39" s="60" t="str">
        <f aca="false">IFERROR(IF(INDEX(res_Name,(ROW()-ROW(rw_LoadOrigin)-1))="","",INDEX(rw_Cum,(ROW()-ROW(rw_LoadOrigin)-1),(COLUMN()-COLUMN(rw_LoadOrigin)-1)+1)-INDEX(rw_Cum,(ROW()-ROW(rw_LoadOrigin)-1),(COLUMN()-COLUMN(rw_LoadOrigin)-1))),"")</f>
        <v/>
      </c>
      <c r="N39" s="60" t="str">
        <f aca="false">IFERROR(IF(INDEX(res_Name,(ROW()-ROW(rw_LoadOrigin)-1))="","",INDEX(rw_Cum,(ROW()-ROW(rw_LoadOrigin)-1),(COLUMN()-COLUMN(rw_LoadOrigin)-1)+1)-INDEX(rw_Cum,(ROW()-ROW(rw_LoadOrigin)-1),(COLUMN()-COLUMN(rw_LoadOrigin)-1))),"")</f>
        <v/>
      </c>
      <c r="O39" s="60" t="str">
        <f aca="false">IFERROR(IF(INDEX(res_Name,(ROW()-ROW(rw_LoadOrigin)-1))="","",INDEX(rw_Cum,(ROW()-ROW(rw_LoadOrigin)-1),(COLUMN()-COLUMN(rw_LoadOrigin)-1)+1)-INDEX(rw_Cum,(ROW()-ROW(rw_LoadOrigin)-1),(COLUMN()-COLUMN(rw_LoadOrigin)-1))),"")</f>
        <v/>
      </c>
      <c r="P39" s="60" t="str">
        <f aca="false">IFERROR(IF(INDEX(res_Name,(ROW()-ROW(rw_LoadOrigin)-1))="","",INDEX(rw_Cum,(ROW()-ROW(rw_LoadOrigin)-1),(COLUMN()-COLUMN(rw_LoadOrigin)-1)+1)-INDEX(rw_Cum,(ROW()-ROW(rw_LoadOrigin)-1),(COLUMN()-COLUMN(rw_LoadOrigin)-1))),"")</f>
        <v/>
      </c>
      <c r="Q39" s="60" t="str">
        <f aca="false">IFERROR(IF(INDEX(res_Name,(ROW()-ROW(rw_LoadOrigin)-1))="","",INDEX(rw_Cum,(ROW()-ROW(rw_LoadOrigin)-1),(COLUMN()-COLUMN(rw_LoadOrigin)-1)+1)-INDEX(rw_Cum,(ROW()-ROW(rw_LoadOrigin)-1),(COLUMN()-COLUMN(rw_LoadOrigin)-1))),"")</f>
        <v/>
      </c>
      <c r="R39" s="60" t="str">
        <f aca="false">IFERROR(IF(INDEX(res_Name,(ROW()-ROW(rw_LoadOrigin)-1))="","",INDEX(rw_Cum,(ROW()-ROW(rw_LoadOrigin)-1),(COLUMN()-COLUMN(rw_LoadOrigin)-1)+1)-INDEX(rw_Cum,(ROW()-ROW(rw_LoadOrigin)-1),(COLUMN()-COLUMN(rw_LoadOrigin)-1))),"")</f>
        <v/>
      </c>
      <c r="S39" s="60" t="str">
        <f aca="false">IFERROR(IF(INDEX(res_Name,(ROW()-ROW(rw_LoadOrigin)-1))="","",INDEX(rw_Cum,(ROW()-ROW(rw_LoadOrigin)-1),(COLUMN()-COLUMN(rw_LoadOrigin)-1)+1)-INDEX(rw_Cum,(ROW()-ROW(rw_LoadOrigin)-1),(COLUMN()-COLUMN(rw_LoadOrigin)-1))),"")</f>
        <v/>
      </c>
      <c r="T39" s="60" t="str">
        <f aca="false">IFERROR(IF(INDEX(res_Name,(ROW()-ROW(rw_LoadOrigin)-1))="","",INDEX(rw_Cum,(ROW()-ROW(rw_LoadOrigin)-1),(COLUMN()-COLUMN(rw_LoadOrigin)-1)+1)-INDEX(rw_Cum,(ROW()-ROW(rw_LoadOrigin)-1),(COLUMN()-COLUMN(rw_LoadOrigin)-1))),"")</f>
        <v/>
      </c>
      <c r="U39" s="60" t="str">
        <f aca="false">IFERROR(IF(INDEX(res_Name,(ROW()-ROW(rw_LoadOrigin)-1))="","",INDEX(rw_Cum,(ROW()-ROW(rw_LoadOrigin)-1),(COLUMN()-COLUMN(rw_LoadOrigin)-1)+1)-INDEX(rw_Cum,(ROW()-ROW(rw_LoadOrigin)-1),(COLUMN()-COLUMN(rw_LoadOrigin)-1))),"")</f>
        <v/>
      </c>
      <c r="V39" s="60" t="str">
        <f aca="false">IFERROR(IF(INDEX(res_Name,(ROW()-ROW(rw_LoadOrigin)-1))="","",INDEX(rw_Cum,(ROW()-ROW(rw_LoadOrigin)-1),(COLUMN()-COLUMN(rw_LoadOrigin)-1)+1)-INDEX(rw_Cum,(ROW()-ROW(rw_LoadOrigin)-1),(COLUMN()-COLUMN(rw_LoadOrigin)-1))),"")</f>
        <v/>
      </c>
      <c r="W39" s="60" t="str">
        <f aca="false">IFERROR(IF(INDEX(res_Name,(ROW()-ROW(rw_LoadOrigin)-1))="","",INDEX(rw_Cum,(ROW()-ROW(rw_LoadOrigin)-1),(COLUMN()-COLUMN(rw_LoadOrigin)-1)+1)-INDEX(rw_Cum,(ROW()-ROW(rw_LoadOrigin)-1),(COLUMN()-COLUMN(rw_LoadOrigin)-1))),"")</f>
        <v/>
      </c>
      <c r="X39" s="60" t="str">
        <f aca="false">IFERROR(IF(INDEX(res_Name,(ROW()-ROW(rw_LoadOrigin)-1))="","",INDEX(rw_Cum,(ROW()-ROW(rw_LoadOrigin)-1),(COLUMN()-COLUMN(rw_LoadOrigin)-1)+1)-INDEX(rw_Cum,(ROW()-ROW(rw_LoadOrigin)-1),(COLUMN()-COLUMN(rw_LoadOrigin)-1))),"")</f>
        <v/>
      </c>
      <c r="Y39" s="60" t="str">
        <f aca="false">IFERROR(IF(INDEX(res_Name,(ROW()-ROW(rw_LoadOrigin)-1))="","",INDEX(rw_Cum,(ROW()-ROW(rw_LoadOrigin)-1),(COLUMN()-COLUMN(rw_LoadOrigin)-1)+1)-INDEX(rw_Cum,(ROW()-ROW(rw_LoadOrigin)-1),(COLUMN()-COLUMN(rw_LoadOrigin)-1))),"")</f>
        <v/>
      </c>
      <c r="Z39" s="60" t="str">
        <f aca="false">IFERROR(IF(INDEX(res_Name,(ROW()-ROW(rw_LoadOrigin)-1))="","",INDEX(rw_Cum,(ROW()-ROW(rw_LoadOrigin)-1),(COLUMN()-COLUMN(rw_LoadOrigin)-1)+1)-INDEX(rw_Cum,(ROW()-ROW(rw_LoadOrigin)-1),(COLUMN()-COLUMN(rw_LoadOrigin)-1))),"")</f>
        <v/>
      </c>
      <c r="AA39" s="60" t="str">
        <f aca="false">IFERROR(IF(INDEX(res_Name,(ROW()-ROW(rw_LoadOrigin)-1))="","",INDEX(rw_Cum,(ROW()-ROW(rw_LoadOrigin)-1),(COLUMN()-COLUMN(rw_LoadOrigin)-1)+1)-INDEX(rw_Cum,(ROW()-ROW(rw_LoadOrigin)-1),(COLUMN()-COLUMN(rw_LoadOrigin)-1))),"")</f>
        <v/>
      </c>
      <c r="AB39" s="60" t="str">
        <f aca="false">IFERROR(IF(INDEX(res_Name,(ROW()-ROW(rw_LoadOrigin)-1))="","",INDEX(rw_Cum,(ROW()-ROW(rw_LoadOrigin)-1),(COLUMN()-COLUMN(rw_LoadOrigin)-1)+1)-INDEX(rw_Cum,(ROW()-ROW(rw_LoadOrigin)-1),(COLUMN()-COLUMN(rw_LoadOrigin)-1))),"")</f>
        <v/>
      </c>
      <c r="AC39" s="60"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9" t="str">
        <f aca="false">IFERROR(IF(INDEX(res_Name,(ROW()-ROW(rw_LoadOrigin)-1))="","",INDEX(res_MaxUnits,(ROW()-ROW(rw_LoadOrigin)-1))),"")</f>
        <v/>
      </c>
      <c r="D40" s="60" t="str">
        <f aca="false">IFERROR(IF(INDEX(res_Name,(ROW()-ROW(rw_LoadOrigin)-1))="","",INDEX(rw_Cum,(ROW()-ROW(rw_LoadOrigin)-1),(COLUMN()-COLUMN(rw_LoadOrigin)-1)+1)-INDEX(rw_Cum,(ROW()-ROW(rw_LoadOrigin)-1),(COLUMN()-COLUMN(rw_LoadOrigin)-1))),"")</f>
        <v/>
      </c>
      <c r="E40" s="60" t="str">
        <f aca="false">IFERROR(IF(INDEX(res_Name,(ROW()-ROW(rw_LoadOrigin)-1))="","",INDEX(rw_Cum,(ROW()-ROW(rw_LoadOrigin)-1),(COLUMN()-COLUMN(rw_LoadOrigin)-1)+1)-INDEX(rw_Cum,(ROW()-ROW(rw_LoadOrigin)-1),(COLUMN()-COLUMN(rw_LoadOrigin)-1))),"")</f>
        <v/>
      </c>
      <c r="F40" s="60" t="str">
        <f aca="false">IFERROR(IF(INDEX(res_Name,(ROW()-ROW(rw_LoadOrigin)-1))="","",INDEX(rw_Cum,(ROW()-ROW(rw_LoadOrigin)-1),(COLUMN()-COLUMN(rw_LoadOrigin)-1)+1)-INDEX(rw_Cum,(ROW()-ROW(rw_LoadOrigin)-1),(COLUMN()-COLUMN(rw_LoadOrigin)-1))),"")</f>
        <v/>
      </c>
      <c r="G40" s="60" t="str">
        <f aca="false">IFERROR(IF(INDEX(res_Name,(ROW()-ROW(rw_LoadOrigin)-1))="","",INDEX(rw_Cum,(ROW()-ROW(rw_LoadOrigin)-1),(COLUMN()-COLUMN(rw_LoadOrigin)-1)+1)-INDEX(rw_Cum,(ROW()-ROW(rw_LoadOrigin)-1),(COLUMN()-COLUMN(rw_LoadOrigin)-1))),"")</f>
        <v/>
      </c>
      <c r="H40" s="60" t="str">
        <f aca="false">IFERROR(IF(INDEX(res_Name,(ROW()-ROW(rw_LoadOrigin)-1))="","",INDEX(rw_Cum,(ROW()-ROW(rw_LoadOrigin)-1),(COLUMN()-COLUMN(rw_LoadOrigin)-1)+1)-INDEX(rw_Cum,(ROW()-ROW(rw_LoadOrigin)-1),(COLUMN()-COLUMN(rw_LoadOrigin)-1))),"")</f>
        <v/>
      </c>
      <c r="I40" s="60" t="str">
        <f aca="false">IFERROR(IF(INDEX(res_Name,(ROW()-ROW(rw_LoadOrigin)-1))="","",INDEX(rw_Cum,(ROW()-ROW(rw_LoadOrigin)-1),(COLUMN()-COLUMN(rw_LoadOrigin)-1)+1)-INDEX(rw_Cum,(ROW()-ROW(rw_LoadOrigin)-1),(COLUMN()-COLUMN(rw_LoadOrigin)-1))),"")</f>
        <v/>
      </c>
      <c r="J40" s="60" t="str">
        <f aca="false">IFERROR(IF(INDEX(res_Name,(ROW()-ROW(rw_LoadOrigin)-1))="","",INDEX(rw_Cum,(ROW()-ROW(rw_LoadOrigin)-1),(COLUMN()-COLUMN(rw_LoadOrigin)-1)+1)-INDEX(rw_Cum,(ROW()-ROW(rw_LoadOrigin)-1),(COLUMN()-COLUMN(rw_LoadOrigin)-1))),"")</f>
        <v/>
      </c>
      <c r="K40" s="60" t="str">
        <f aca="false">IFERROR(IF(INDEX(res_Name,(ROW()-ROW(rw_LoadOrigin)-1))="","",INDEX(rw_Cum,(ROW()-ROW(rw_LoadOrigin)-1),(COLUMN()-COLUMN(rw_LoadOrigin)-1)+1)-INDEX(rw_Cum,(ROW()-ROW(rw_LoadOrigin)-1),(COLUMN()-COLUMN(rw_LoadOrigin)-1))),"")</f>
        <v/>
      </c>
      <c r="L40" s="60" t="str">
        <f aca="false">IFERROR(IF(INDEX(res_Name,(ROW()-ROW(rw_LoadOrigin)-1))="","",INDEX(rw_Cum,(ROW()-ROW(rw_LoadOrigin)-1),(COLUMN()-COLUMN(rw_LoadOrigin)-1)+1)-INDEX(rw_Cum,(ROW()-ROW(rw_LoadOrigin)-1),(COLUMN()-COLUMN(rw_LoadOrigin)-1))),"")</f>
        <v/>
      </c>
      <c r="M40" s="60" t="str">
        <f aca="false">IFERROR(IF(INDEX(res_Name,(ROW()-ROW(rw_LoadOrigin)-1))="","",INDEX(rw_Cum,(ROW()-ROW(rw_LoadOrigin)-1),(COLUMN()-COLUMN(rw_LoadOrigin)-1)+1)-INDEX(rw_Cum,(ROW()-ROW(rw_LoadOrigin)-1),(COLUMN()-COLUMN(rw_LoadOrigin)-1))),"")</f>
        <v/>
      </c>
      <c r="N40" s="60" t="str">
        <f aca="false">IFERROR(IF(INDEX(res_Name,(ROW()-ROW(rw_LoadOrigin)-1))="","",INDEX(rw_Cum,(ROW()-ROW(rw_LoadOrigin)-1),(COLUMN()-COLUMN(rw_LoadOrigin)-1)+1)-INDEX(rw_Cum,(ROW()-ROW(rw_LoadOrigin)-1),(COLUMN()-COLUMN(rw_LoadOrigin)-1))),"")</f>
        <v/>
      </c>
      <c r="O40" s="60" t="str">
        <f aca="false">IFERROR(IF(INDEX(res_Name,(ROW()-ROW(rw_LoadOrigin)-1))="","",INDEX(rw_Cum,(ROW()-ROW(rw_LoadOrigin)-1),(COLUMN()-COLUMN(rw_LoadOrigin)-1)+1)-INDEX(rw_Cum,(ROW()-ROW(rw_LoadOrigin)-1),(COLUMN()-COLUMN(rw_LoadOrigin)-1))),"")</f>
        <v/>
      </c>
      <c r="P40" s="60" t="str">
        <f aca="false">IFERROR(IF(INDEX(res_Name,(ROW()-ROW(rw_LoadOrigin)-1))="","",INDEX(rw_Cum,(ROW()-ROW(rw_LoadOrigin)-1),(COLUMN()-COLUMN(rw_LoadOrigin)-1)+1)-INDEX(rw_Cum,(ROW()-ROW(rw_LoadOrigin)-1),(COLUMN()-COLUMN(rw_LoadOrigin)-1))),"")</f>
        <v/>
      </c>
      <c r="Q40" s="60" t="str">
        <f aca="false">IFERROR(IF(INDEX(res_Name,(ROW()-ROW(rw_LoadOrigin)-1))="","",INDEX(rw_Cum,(ROW()-ROW(rw_LoadOrigin)-1),(COLUMN()-COLUMN(rw_LoadOrigin)-1)+1)-INDEX(rw_Cum,(ROW()-ROW(rw_LoadOrigin)-1),(COLUMN()-COLUMN(rw_LoadOrigin)-1))),"")</f>
        <v/>
      </c>
      <c r="R40" s="60" t="str">
        <f aca="false">IFERROR(IF(INDEX(res_Name,(ROW()-ROW(rw_LoadOrigin)-1))="","",INDEX(rw_Cum,(ROW()-ROW(rw_LoadOrigin)-1),(COLUMN()-COLUMN(rw_LoadOrigin)-1)+1)-INDEX(rw_Cum,(ROW()-ROW(rw_LoadOrigin)-1),(COLUMN()-COLUMN(rw_LoadOrigin)-1))),"")</f>
        <v/>
      </c>
      <c r="S40" s="60" t="str">
        <f aca="false">IFERROR(IF(INDEX(res_Name,(ROW()-ROW(rw_LoadOrigin)-1))="","",INDEX(rw_Cum,(ROW()-ROW(rw_LoadOrigin)-1),(COLUMN()-COLUMN(rw_LoadOrigin)-1)+1)-INDEX(rw_Cum,(ROW()-ROW(rw_LoadOrigin)-1),(COLUMN()-COLUMN(rw_LoadOrigin)-1))),"")</f>
        <v/>
      </c>
      <c r="T40" s="60" t="str">
        <f aca="false">IFERROR(IF(INDEX(res_Name,(ROW()-ROW(rw_LoadOrigin)-1))="","",INDEX(rw_Cum,(ROW()-ROW(rw_LoadOrigin)-1),(COLUMN()-COLUMN(rw_LoadOrigin)-1)+1)-INDEX(rw_Cum,(ROW()-ROW(rw_LoadOrigin)-1),(COLUMN()-COLUMN(rw_LoadOrigin)-1))),"")</f>
        <v/>
      </c>
      <c r="U40" s="60" t="str">
        <f aca="false">IFERROR(IF(INDEX(res_Name,(ROW()-ROW(rw_LoadOrigin)-1))="","",INDEX(rw_Cum,(ROW()-ROW(rw_LoadOrigin)-1),(COLUMN()-COLUMN(rw_LoadOrigin)-1)+1)-INDEX(rw_Cum,(ROW()-ROW(rw_LoadOrigin)-1),(COLUMN()-COLUMN(rw_LoadOrigin)-1))),"")</f>
        <v/>
      </c>
      <c r="V40" s="60" t="str">
        <f aca="false">IFERROR(IF(INDEX(res_Name,(ROW()-ROW(rw_LoadOrigin)-1))="","",INDEX(rw_Cum,(ROW()-ROW(rw_LoadOrigin)-1),(COLUMN()-COLUMN(rw_LoadOrigin)-1)+1)-INDEX(rw_Cum,(ROW()-ROW(rw_LoadOrigin)-1),(COLUMN()-COLUMN(rw_LoadOrigin)-1))),"")</f>
        <v/>
      </c>
      <c r="W40" s="60" t="str">
        <f aca="false">IFERROR(IF(INDEX(res_Name,(ROW()-ROW(rw_LoadOrigin)-1))="","",INDEX(rw_Cum,(ROW()-ROW(rw_LoadOrigin)-1),(COLUMN()-COLUMN(rw_LoadOrigin)-1)+1)-INDEX(rw_Cum,(ROW()-ROW(rw_LoadOrigin)-1),(COLUMN()-COLUMN(rw_LoadOrigin)-1))),"")</f>
        <v/>
      </c>
      <c r="X40" s="60" t="str">
        <f aca="false">IFERROR(IF(INDEX(res_Name,(ROW()-ROW(rw_LoadOrigin)-1))="","",INDEX(rw_Cum,(ROW()-ROW(rw_LoadOrigin)-1),(COLUMN()-COLUMN(rw_LoadOrigin)-1)+1)-INDEX(rw_Cum,(ROW()-ROW(rw_LoadOrigin)-1),(COLUMN()-COLUMN(rw_LoadOrigin)-1))),"")</f>
        <v/>
      </c>
      <c r="Y40" s="60" t="str">
        <f aca="false">IFERROR(IF(INDEX(res_Name,(ROW()-ROW(rw_LoadOrigin)-1))="","",INDEX(rw_Cum,(ROW()-ROW(rw_LoadOrigin)-1),(COLUMN()-COLUMN(rw_LoadOrigin)-1)+1)-INDEX(rw_Cum,(ROW()-ROW(rw_LoadOrigin)-1),(COLUMN()-COLUMN(rw_LoadOrigin)-1))),"")</f>
        <v/>
      </c>
      <c r="Z40" s="60" t="str">
        <f aca="false">IFERROR(IF(INDEX(res_Name,(ROW()-ROW(rw_LoadOrigin)-1))="","",INDEX(rw_Cum,(ROW()-ROW(rw_LoadOrigin)-1),(COLUMN()-COLUMN(rw_LoadOrigin)-1)+1)-INDEX(rw_Cum,(ROW()-ROW(rw_LoadOrigin)-1),(COLUMN()-COLUMN(rw_LoadOrigin)-1))),"")</f>
        <v/>
      </c>
      <c r="AA40" s="60" t="str">
        <f aca="false">IFERROR(IF(INDEX(res_Name,(ROW()-ROW(rw_LoadOrigin)-1))="","",INDEX(rw_Cum,(ROW()-ROW(rw_LoadOrigin)-1),(COLUMN()-COLUMN(rw_LoadOrigin)-1)+1)-INDEX(rw_Cum,(ROW()-ROW(rw_LoadOrigin)-1),(COLUMN()-COLUMN(rw_LoadOrigin)-1))),"")</f>
        <v/>
      </c>
      <c r="AB40" s="60" t="str">
        <f aca="false">IFERROR(IF(INDEX(res_Name,(ROW()-ROW(rw_LoadOrigin)-1))="","",INDEX(rw_Cum,(ROW()-ROW(rw_LoadOrigin)-1),(COLUMN()-COLUMN(rw_LoadOrigin)-1)+1)-INDEX(rw_Cum,(ROW()-ROW(rw_LoadOrigin)-1),(COLUMN()-COLUMN(rw_LoadOrigin)-1))),"")</f>
        <v/>
      </c>
      <c r="AC40" s="60"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9" t="str">
        <f aca="false">IFERROR(IF(INDEX(res_Name,(ROW()-ROW(rw_LoadOrigin)-1))="","",INDEX(res_MaxUnits,(ROW()-ROW(rw_LoadOrigin)-1))),"")</f>
        <v/>
      </c>
      <c r="D41" s="60" t="str">
        <f aca="false">IFERROR(IF(INDEX(res_Name,(ROW()-ROW(rw_LoadOrigin)-1))="","",INDEX(rw_Cum,(ROW()-ROW(rw_LoadOrigin)-1),(COLUMN()-COLUMN(rw_LoadOrigin)-1)+1)-INDEX(rw_Cum,(ROW()-ROW(rw_LoadOrigin)-1),(COLUMN()-COLUMN(rw_LoadOrigin)-1))),"")</f>
        <v/>
      </c>
      <c r="E41" s="60" t="str">
        <f aca="false">IFERROR(IF(INDEX(res_Name,(ROW()-ROW(rw_LoadOrigin)-1))="","",INDEX(rw_Cum,(ROW()-ROW(rw_LoadOrigin)-1),(COLUMN()-COLUMN(rw_LoadOrigin)-1)+1)-INDEX(rw_Cum,(ROW()-ROW(rw_LoadOrigin)-1),(COLUMN()-COLUMN(rw_LoadOrigin)-1))),"")</f>
        <v/>
      </c>
      <c r="F41" s="60" t="str">
        <f aca="false">IFERROR(IF(INDEX(res_Name,(ROW()-ROW(rw_LoadOrigin)-1))="","",INDEX(rw_Cum,(ROW()-ROW(rw_LoadOrigin)-1),(COLUMN()-COLUMN(rw_LoadOrigin)-1)+1)-INDEX(rw_Cum,(ROW()-ROW(rw_LoadOrigin)-1),(COLUMN()-COLUMN(rw_LoadOrigin)-1))),"")</f>
        <v/>
      </c>
      <c r="G41" s="60" t="str">
        <f aca="false">IFERROR(IF(INDEX(res_Name,(ROW()-ROW(rw_LoadOrigin)-1))="","",INDEX(rw_Cum,(ROW()-ROW(rw_LoadOrigin)-1),(COLUMN()-COLUMN(rw_LoadOrigin)-1)+1)-INDEX(rw_Cum,(ROW()-ROW(rw_LoadOrigin)-1),(COLUMN()-COLUMN(rw_LoadOrigin)-1))),"")</f>
        <v/>
      </c>
      <c r="H41" s="60" t="str">
        <f aca="false">IFERROR(IF(INDEX(res_Name,(ROW()-ROW(rw_LoadOrigin)-1))="","",INDEX(rw_Cum,(ROW()-ROW(rw_LoadOrigin)-1),(COLUMN()-COLUMN(rw_LoadOrigin)-1)+1)-INDEX(rw_Cum,(ROW()-ROW(rw_LoadOrigin)-1),(COLUMN()-COLUMN(rw_LoadOrigin)-1))),"")</f>
        <v/>
      </c>
      <c r="I41" s="60" t="str">
        <f aca="false">IFERROR(IF(INDEX(res_Name,(ROW()-ROW(rw_LoadOrigin)-1))="","",INDEX(rw_Cum,(ROW()-ROW(rw_LoadOrigin)-1),(COLUMN()-COLUMN(rw_LoadOrigin)-1)+1)-INDEX(rw_Cum,(ROW()-ROW(rw_LoadOrigin)-1),(COLUMN()-COLUMN(rw_LoadOrigin)-1))),"")</f>
        <v/>
      </c>
      <c r="J41" s="60" t="str">
        <f aca="false">IFERROR(IF(INDEX(res_Name,(ROW()-ROW(rw_LoadOrigin)-1))="","",INDEX(rw_Cum,(ROW()-ROW(rw_LoadOrigin)-1),(COLUMN()-COLUMN(rw_LoadOrigin)-1)+1)-INDEX(rw_Cum,(ROW()-ROW(rw_LoadOrigin)-1),(COLUMN()-COLUMN(rw_LoadOrigin)-1))),"")</f>
        <v/>
      </c>
      <c r="K41" s="60" t="str">
        <f aca="false">IFERROR(IF(INDEX(res_Name,(ROW()-ROW(rw_LoadOrigin)-1))="","",INDEX(rw_Cum,(ROW()-ROW(rw_LoadOrigin)-1),(COLUMN()-COLUMN(rw_LoadOrigin)-1)+1)-INDEX(rw_Cum,(ROW()-ROW(rw_LoadOrigin)-1),(COLUMN()-COLUMN(rw_LoadOrigin)-1))),"")</f>
        <v/>
      </c>
      <c r="L41" s="60" t="str">
        <f aca="false">IFERROR(IF(INDEX(res_Name,(ROW()-ROW(rw_LoadOrigin)-1))="","",INDEX(rw_Cum,(ROW()-ROW(rw_LoadOrigin)-1),(COLUMN()-COLUMN(rw_LoadOrigin)-1)+1)-INDEX(rw_Cum,(ROW()-ROW(rw_LoadOrigin)-1),(COLUMN()-COLUMN(rw_LoadOrigin)-1))),"")</f>
        <v/>
      </c>
      <c r="M41" s="60" t="str">
        <f aca="false">IFERROR(IF(INDEX(res_Name,(ROW()-ROW(rw_LoadOrigin)-1))="","",INDEX(rw_Cum,(ROW()-ROW(rw_LoadOrigin)-1),(COLUMN()-COLUMN(rw_LoadOrigin)-1)+1)-INDEX(rw_Cum,(ROW()-ROW(rw_LoadOrigin)-1),(COLUMN()-COLUMN(rw_LoadOrigin)-1))),"")</f>
        <v/>
      </c>
      <c r="N41" s="60" t="str">
        <f aca="false">IFERROR(IF(INDEX(res_Name,(ROW()-ROW(rw_LoadOrigin)-1))="","",INDEX(rw_Cum,(ROW()-ROW(rw_LoadOrigin)-1),(COLUMN()-COLUMN(rw_LoadOrigin)-1)+1)-INDEX(rw_Cum,(ROW()-ROW(rw_LoadOrigin)-1),(COLUMN()-COLUMN(rw_LoadOrigin)-1))),"")</f>
        <v/>
      </c>
      <c r="O41" s="60" t="str">
        <f aca="false">IFERROR(IF(INDEX(res_Name,(ROW()-ROW(rw_LoadOrigin)-1))="","",INDEX(rw_Cum,(ROW()-ROW(rw_LoadOrigin)-1),(COLUMN()-COLUMN(rw_LoadOrigin)-1)+1)-INDEX(rw_Cum,(ROW()-ROW(rw_LoadOrigin)-1),(COLUMN()-COLUMN(rw_LoadOrigin)-1))),"")</f>
        <v/>
      </c>
      <c r="P41" s="60" t="str">
        <f aca="false">IFERROR(IF(INDEX(res_Name,(ROW()-ROW(rw_LoadOrigin)-1))="","",INDEX(rw_Cum,(ROW()-ROW(rw_LoadOrigin)-1),(COLUMN()-COLUMN(rw_LoadOrigin)-1)+1)-INDEX(rw_Cum,(ROW()-ROW(rw_LoadOrigin)-1),(COLUMN()-COLUMN(rw_LoadOrigin)-1))),"")</f>
        <v/>
      </c>
      <c r="Q41" s="60" t="str">
        <f aca="false">IFERROR(IF(INDEX(res_Name,(ROW()-ROW(rw_LoadOrigin)-1))="","",INDEX(rw_Cum,(ROW()-ROW(rw_LoadOrigin)-1),(COLUMN()-COLUMN(rw_LoadOrigin)-1)+1)-INDEX(rw_Cum,(ROW()-ROW(rw_LoadOrigin)-1),(COLUMN()-COLUMN(rw_LoadOrigin)-1))),"")</f>
        <v/>
      </c>
      <c r="R41" s="60" t="str">
        <f aca="false">IFERROR(IF(INDEX(res_Name,(ROW()-ROW(rw_LoadOrigin)-1))="","",INDEX(rw_Cum,(ROW()-ROW(rw_LoadOrigin)-1),(COLUMN()-COLUMN(rw_LoadOrigin)-1)+1)-INDEX(rw_Cum,(ROW()-ROW(rw_LoadOrigin)-1),(COLUMN()-COLUMN(rw_LoadOrigin)-1))),"")</f>
        <v/>
      </c>
      <c r="S41" s="60" t="str">
        <f aca="false">IFERROR(IF(INDEX(res_Name,(ROW()-ROW(rw_LoadOrigin)-1))="","",INDEX(rw_Cum,(ROW()-ROW(rw_LoadOrigin)-1),(COLUMN()-COLUMN(rw_LoadOrigin)-1)+1)-INDEX(rw_Cum,(ROW()-ROW(rw_LoadOrigin)-1),(COLUMN()-COLUMN(rw_LoadOrigin)-1))),"")</f>
        <v/>
      </c>
      <c r="T41" s="60" t="str">
        <f aca="false">IFERROR(IF(INDEX(res_Name,(ROW()-ROW(rw_LoadOrigin)-1))="","",INDEX(rw_Cum,(ROW()-ROW(rw_LoadOrigin)-1),(COLUMN()-COLUMN(rw_LoadOrigin)-1)+1)-INDEX(rw_Cum,(ROW()-ROW(rw_LoadOrigin)-1),(COLUMN()-COLUMN(rw_LoadOrigin)-1))),"")</f>
        <v/>
      </c>
      <c r="U41" s="60" t="str">
        <f aca="false">IFERROR(IF(INDEX(res_Name,(ROW()-ROW(rw_LoadOrigin)-1))="","",INDEX(rw_Cum,(ROW()-ROW(rw_LoadOrigin)-1),(COLUMN()-COLUMN(rw_LoadOrigin)-1)+1)-INDEX(rw_Cum,(ROW()-ROW(rw_LoadOrigin)-1),(COLUMN()-COLUMN(rw_LoadOrigin)-1))),"")</f>
        <v/>
      </c>
      <c r="V41" s="60" t="str">
        <f aca="false">IFERROR(IF(INDEX(res_Name,(ROW()-ROW(rw_LoadOrigin)-1))="","",INDEX(rw_Cum,(ROW()-ROW(rw_LoadOrigin)-1),(COLUMN()-COLUMN(rw_LoadOrigin)-1)+1)-INDEX(rw_Cum,(ROW()-ROW(rw_LoadOrigin)-1),(COLUMN()-COLUMN(rw_LoadOrigin)-1))),"")</f>
        <v/>
      </c>
      <c r="W41" s="60" t="str">
        <f aca="false">IFERROR(IF(INDEX(res_Name,(ROW()-ROW(rw_LoadOrigin)-1))="","",INDEX(rw_Cum,(ROW()-ROW(rw_LoadOrigin)-1),(COLUMN()-COLUMN(rw_LoadOrigin)-1)+1)-INDEX(rw_Cum,(ROW()-ROW(rw_LoadOrigin)-1),(COLUMN()-COLUMN(rw_LoadOrigin)-1))),"")</f>
        <v/>
      </c>
      <c r="X41" s="60" t="str">
        <f aca="false">IFERROR(IF(INDEX(res_Name,(ROW()-ROW(rw_LoadOrigin)-1))="","",INDEX(rw_Cum,(ROW()-ROW(rw_LoadOrigin)-1),(COLUMN()-COLUMN(rw_LoadOrigin)-1)+1)-INDEX(rw_Cum,(ROW()-ROW(rw_LoadOrigin)-1),(COLUMN()-COLUMN(rw_LoadOrigin)-1))),"")</f>
        <v/>
      </c>
      <c r="Y41" s="60" t="str">
        <f aca="false">IFERROR(IF(INDEX(res_Name,(ROW()-ROW(rw_LoadOrigin)-1))="","",INDEX(rw_Cum,(ROW()-ROW(rw_LoadOrigin)-1),(COLUMN()-COLUMN(rw_LoadOrigin)-1)+1)-INDEX(rw_Cum,(ROW()-ROW(rw_LoadOrigin)-1),(COLUMN()-COLUMN(rw_LoadOrigin)-1))),"")</f>
        <v/>
      </c>
      <c r="Z41" s="60" t="str">
        <f aca="false">IFERROR(IF(INDEX(res_Name,(ROW()-ROW(rw_LoadOrigin)-1))="","",INDEX(rw_Cum,(ROW()-ROW(rw_LoadOrigin)-1),(COLUMN()-COLUMN(rw_LoadOrigin)-1)+1)-INDEX(rw_Cum,(ROW()-ROW(rw_LoadOrigin)-1),(COLUMN()-COLUMN(rw_LoadOrigin)-1))),"")</f>
        <v/>
      </c>
      <c r="AA41" s="60" t="str">
        <f aca="false">IFERROR(IF(INDEX(res_Name,(ROW()-ROW(rw_LoadOrigin)-1))="","",INDEX(rw_Cum,(ROW()-ROW(rw_LoadOrigin)-1),(COLUMN()-COLUMN(rw_LoadOrigin)-1)+1)-INDEX(rw_Cum,(ROW()-ROW(rw_LoadOrigin)-1),(COLUMN()-COLUMN(rw_LoadOrigin)-1))),"")</f>
        <v/>
      </c>
      <c r="AB41" s="60" t="str">
        <f aca="false">IFERROR(IF(INDEX(res_Name,(ROW()-ROW(rw_LoadOrigin)-1))="","",INDEX(rw_Cum,(ROW()-ROW(rw_LoadOrigin)-1),(COLUMN()-COLUMN(rw_LoadOrigin)-1)+1)-INDEX(rw_Cum,(ROW()-ROW(rw_LoadOrigin)-1),(COLUMN()-COLUMN(rw_LoadOrigin)-1))),"")</f>
        <v/>
      </c>
      <c r="AC41" s="60"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9" t="str">
        <f aca="false">IFERROR(IF(INDEX(res_Name,(ROW()-ROW(rw_LoadOrigin)-1))="","",INDEX(res_MaxUnits,(ROW()-ROW(rw_LoadOrigin)-1))),"")</f>
        <v/>
      </c>
      <c r="D42" s="60" t="str">
        <f aca="false">IFERROR(IF(INDEX(res_Name,(ROW()-ROW(rw_LoadOrigin)-1))="","",INDEX(rw_Cum,(ROW()-ROW(rw_LoadOrigin)-1),(COLUMN()-COLUMN(rw_LoadOrigin)-1)+1)-INDEX(rw_Cum,(ROW()-ROW(rw_LoadOrigin)-1),(COLUMN()-COLUMN(rw_LoadOrigin)-1))),"")</f>
        <v/>
      </c>
      <c r="E42" s="60" t="str">
        <f aca="false">IFERROR(IF(INDEX(res_Name,(ROW()-ROW(rw_LoadOrigin)-1))="","",INDEX(rw_Cum,(ROW()-ROW(rw_LoadOrigin)-1),(COLUMN()-COLUMN(rw_LoadOrigin)-1)+1)-INDEX(rw_Cum,(ROW()-ROW(rw_LoadOrigin)-1),(COLUMN()-COLUMN(rw_LoadOrigin)-1))),"")</f>
        <v/>
      </c>
      <c r="F42" s="60" t="str">
        <f aca="false">IFERROR(IF(INDEX(res_Name,(ROW()-ROW(rw_LoadOrigin)-1))="","",INDEX(rw_Cum,(ROW()-ROW(rw_LoadOrigin)-1),(COLUMN()-COLUMN(rw_LoadOrigin)-1)+1)-INDEX(rw_Cum,(ROW()-ROW(rw_LoadOrigin)-1),(COLUMN()-COLUMN(rw_LoadOrigin)-1))),"")</f>
        <v/>
      </c>
      <c r="G42" s="60" t="str">
        <f aca="false">IFERROR(IF(INDEX(res_Name,(ROW()-ROW(rw_LoadOrigin)-1))="","",INDEX(rw_Cum,(ROW()-ROW(rw_LoadOrigin)-1),(COLUMN()-COLUMN(rw_LoadOrigin)-1)+1)-INDEX(rw_Cum,(ROW()-ROW(rw_LoadOrigin)-1),(COLUMN()-COLUMN(rw_LoadOrigin)-1))),"")</f>
        <v/>
      </c>
      <c r="H42" s="60" t="str">
        <f aca="false">IFERROR(IF(INDEX(res_Name,(ROW()-ROW(rw_LoadOrigin)-1))="","",INDEX(rw_Cum,(ROW()-ROW(rw_LoadOrigin)-1),(COLUMN()-COLUMN(rw_LoadOrigin)-1)+1)-INDEX(rw_Cum,(ROW()-ROW(rw_LoadOrigin)-1),(COLUMN()-COLUMN(rw_LoadOrigin)-1))),"")</f>
        <v/>
      </c>
      <c r="I42" s="60" t="str">
        <f aca="false">IFERROR(IF(INDEX(res_Name,(ROW()-ROW(rw_LoadOrigin)-1))="","",INDEX(rw_Cum,(ROW()-ROW(rw_LoadOrigin)-1),(COLUMN()-COLUMN(rw_LoadOrigin)-1)+1)-INDEX(rw_Cum,(ROW()-ROW(rw_LoadOrigin)-1),(COLUMN()-COLUMN(rw_LoadOrigin)-1))),"")</f>
        <v/>
      </c>
      <c r="J42" s="60" t="str">
        <f aca="false">IFERROR(IF(INDEX(res_Name,(ROW()-ROW(rw_LoadOrigin)-1))="","",INDEX(rw_Cum,(ROW()-ROW(rw_LoadOrigin)-1),(COLUMN()-COLUMN(rw_LoadOrigin)-1)+1)-INDEX(rw_Cum,(ROW()-ROW(rw_LoadOrigin)-1),(COLUMN()-COLUMN(rw_LoadOrigin)-1))),"")</f>
        <v/>
      </c>
      <c r="K42" s="60" t="str">
        <f aca="false">IFERROR(IF(INDEX(res_Name,(ROW()-ROW(rw_LoadOrigin)-1))="","",INDEX(rw_Cum,(ROW()-ROW(rw_LoadOrigin)-1),(COLUMN()-COLUMN(rw_LoadOrigin)-1)+1)-INDEX(rw_Cum,(ROW()-ROW(rw_LoadOrigin)-1),(COLUMN()-COLUMN(rw_LoadOrigin)-1))),"")</f>
        <v/>
      </c>
      <c r="L42" s="60" t="str">
        <f aca="false">IFERROR(IF(INDEX(res_Name,(ROW()-ROW(rw_LoadOrigin)-1))="","",INDEX(rw_Cum,(ROW()-ROW(rw_LoadOrigin)-1),(COLUMN()-COLUMN(rw_LoadOrigin)-1)+1)-INDEX(rw_Cum,(ROW()-ROW(rw_LoadOrigin)-1),(COLUMN()-COLUMN(rw_LoadOrigin)-1))),"")</f>
        <v/>
      </c>
      <c r="M42" s="60" t="str">
        <f aca="false">IFERROR(IF(INDEX(res_Name,(ROW()-ROW(rw_LoadOrigin)-1))="","",INDEX(rw_Cum,(ROW()-ROW(rw_LoadOrigin)-1),(COLUMN()-COLUMN(rw_LoadOrigin)-1)+1)-INDEX(rw_Cum,(ROW()-ROW(rw_LoadOrigin)-1),(COLUMN()-COLUMN(rw_LoadOrigin)-1))),"")</f>
        <v/>
      </c>
      <c r="N42" s="60" t="str">
        <f aca="false">IFERROR(IF(INDEX(res_Name,(ROW()-ROW(rw_LoadOrigin)-1))="","",INDEX(rw_Cum,(ROW()-ROW(rw_LoadOrigin)-1),(COLUMN()-COLUMN(rw_LoadOrigin)-1)+1)-INDEX(rw_Cum,(ROW()-ROW(rw_LoadOrigin)-1),(COLUMN()-COLUMN(rw_LoadOrigin)-1))),"")</f>
        <v/>
      </c>
      <c r="O42" s="60" t="str">
        <f aca="false">IFERROR(IF(INDEX(res_Name,(ROW()-ROW(rw_LoadOrigin)-1))="","",INDEX(rw_Cum,(ROW()-ROW(rw_LoadOrigin)-1),(COLUMN()-COLUMN(rw_LoadOrigin)-1)+1)-INDEX(rw_Cum,(ROW()-ROW(rw_LoadOrigin)-1),(COLUMN()-COLUMN(rw_LoadOrigin)-1))),"")</f>
        <v/>
      </c>
      <c r="P42" s="60" t="str">
        <f aca="false">IFERROR(IF(INDEX(res_Name,(ROW()-ROW(rw_LoadOrigin)-1))="","",INDEX(rw_Cum,(ROW()-ROW(rw_LoadOrigin)-1),(COLUMN()-COLUMN(rw_LoadOrigin)-1)+1)-INDEX(rw_Cum,(ROW()-ROW(rw_LoadOrigin)-1),(COLUMN()-COLUMN(rw_LoadOrigin)-1))),"")</f>
        <v/>
      </c>
      <c r="Q42" s="60" t="str">
        <f aca="false">IFERROR(IF(INDEX(res_Name,(ROW()-ROW(rw_LoadOrigin)-1))="","",INDEX(rw_Cum,(ROW()-ROW(rw_LoadOrigin)-1),(COLUMN()-COLUMN(rw_LoadOrigin)-1)+1)-INDEX(rw_Cum,(ROW()-ROW(rw_LoadOrigin)-1),(COLUMN()-COLUMN(rw_LoadOrigin)-1))),"")</f>
        <v/>
      </c>
      <c r="R42" s="60" t="str">
        <f aca="false">IFERROR(IF(INDEX(res_Name,(ROW()-ROW(rw_LoadOrigin)-1))="","",INDEX(rw_Cum,(ROW()-ROW(rw_LoadOrigin)-1),(COLUMN()-COLUMN(rw_LoadOrigin)-1)+1)-INDEX(rw_Cum,(ROW()-ROW(rw_LoadOrigin)-1),(COLUMN()-COLUMN(rw_LoadOrigin)-1))),"")</f>
        <v/>
      </c>
      <c r="S42" s="60" t="str">
        <f aca="false">IFERROR(IF(INDEX(res_Name,(ROW()-ROW(rw_LoadOrigin)-1))="","",INDEX(rw_Cum,(ROW()-ROW(rw_LoadOrigin)-1),(COLUMN()-COLUMN(rw_LoadOrigin)-1)+1)-INDEX(rw_Cum,(ROW()-ROW(rw_LoadOrigin)-1),(COLUMN()-COLUMN(rw_LoadOrigin)-1))),"")</f>
        <v/>
      </c>
      <c r="T42" s="60" t="str">
        <f aca="false">IFERROR(IF(INDEX(res_Name,(ROW()-ROW(rw_LoadOrigin)-1))="","",INDEX(rw_Cum,(ROW()-ROW(rw_LoadOrigin)-1),(COLUMN()-COLUMN(rw_LoadOrigin)-1)+1)-INDEX(rw_Cum,(ROW()-ROW(rw_LoadOrigin)-1),(COLUMN()-COLUMN(rw_LoadOrigin)-1))),"")</f>
        <v/>
      </c>
      <c r="U42" s="60" t="str">
        <f aca="false">IFERROR(IF(INDEX(res_Name,(ROW()-ROW(rw_LoadOrigin)-1))="","",INDEX(rw_Cum,(ROW()-ROW(rw_LoadOrigin)-1),(COLUMN()-COLUMN(rw_LoadOrigin)-1)+1)-INDEX(rw_Cum,(ROW()-ROW(rw_LoadOrigin)-1),(COLUMN()-COLUMN(rw_LoadOrigin)-1))),"")</f>
        <v/>
      </c>
      <c r="V42" s="60" t="str">
        <f aca="false">IFERROR(IF(INDEX(res_Name,(ROW()-ROW(rw_LoadOrigin)-1))="","",INDEX(rw_Cum,(ROW()-ROW(rw_LoadOrigin)-1),(COLUMN()-COLUMN(rw_LoadOrigin)-1)+1)-INDEX(rw_Cum,(ROW()-ROW(rw_LoadOrigin)-1),(COLUMN()-COLUMN(rw_LoadOrigin)-1))),"")</f>
        <v/>
      </c>
      <c r="W42" s="60" t="str">
        <f aca="false">IFERROR(IF(INDEX(res_Name,(ROW()-ROW(rw_LoadOrigin)-1))="","",INDEX(rw_Cum,(ROW()-ROW(rw_LoadOrigin)-1),(COLUMN()-COLUMN(rw_LoadOrigin)-1)+1)-INDEX(rw_Cum,(ROW()-ROW(rw_LoadOrigin)-1),(COLUMN()-COLUMN(rw_LoadOrigin)-1))),"")</f>
        <v/>
      </c>
      <c r="X42" s="60" t="str">
        <f aca="false">IFERROR(IF(INDEX(res_Name,(ROW()-ROW(rw_LoadOrigin)-1))="","",INDEX(rw_Cum,(ROW()-ROW(rw_LoadOrigin)-1),(COLUMN()-COLUMN(rw_LoadOrigin)-1)+1)-INDEX(rw_Cum,(ROW()-ROW(rw_LoadOrigin)-1),(COLUMN()-COLUMN(rw_LoadOrigin)-1))),"")</f>
        <v/>
      </c>
      <c r="Y42" s="60" t="str">
        <f aca="false">IFERROR(IF(INDEX(res_Name,(ROW()-ROW(rw_LoadOrigin)-1))="","",INDEX(rw_Cum,(ROW()-ROW(rw_LoadOrigin)-1),(COLUMN()-COLUMN(rw_LoadOrigin)-1)+1)-INDEX(rw_Cum,(ROW()-ROW(rw_LoadOrigin)-1),(COLUMN()-COLUMN(rw_LoadOrigin)-1))),"")</f>
        <v/>
      </c>
      <c r="Z42" s="60" t="str">
        <f aca="false">IFERROR(IF(INDEX(res_Name,(ROW()-ROW(rw_LoadOrigin)-1))="","",INDEX(rw_Cum,(ROW()-ROW(rw_LoadOrigin)-1),(COLUMN()-COLUMN(rw_LoadOrigin)-1)+1)-INDEX(rw_Cum,(ROW()-ROW(rw_LoadOrigin)-1),(COLUMN()-COLUMN(rw_LoadOrigin)-1))),"")</f>
        <v/>
      </c>
      <c r="AA42" s="60" t="str">
        <f aca="false">IFERROR(IF(INDEX(res_Name,(ROW()-ROW(rw_LoadOrigin)-1))="","",INDEX(rw_Cum,(ROW()-ROW(rw_LoadOrigin)-1),(COLUMN()-COLUMN(rw_LoadOrigin)-1)+1)-INDEX(rw_Cum,(ROW()-ROW(rw_LoadOrigin)-1),(COLUMN()-COLUMN(rw_LoadOrigin)-1))),"")</f>
        <v/>
      </c>
      <c r="AB42" s="60" t="str">
        <f aca="false">IFERROR(IF(INDEX(res_Name,(ROW()-ROW(rw_LoadOrigin)-1))="","",INDEX(rw_Cum,(ROW()-ROW(rw_LoadOrigin)-1),(COLUMN()-COLUMN(rw_LoadOrigin)-1)+1)-INDEX(rw_Cum,(ROW()-ROW(rw_LoadOrigin)-1),(COLUMN()-COLUMN(rw_LoadOrigin)-1))),"")</f>
        <v/>
      </c>
      <c r="AC42" s="60"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245</v>
      </c>
      <c r="D61" s="61" t="n">
        <f aca="false">SUM(INDEX(rw_Load,0,(COLUMN()-COLUMN(rw_LoadOrigin)-1)))</f>
        <v>0</v>
      </c>
      <c r="E61" s="61" t="n">
        <f aca="false">SUM(INDEX(rw_Load,0,(COLUMN()-COLUMN(rw_LoadOrigin)-1)))</f>
        <v>0</v>
      </c>
      <c r="F61" s="61" t="n">
        <f aca="false">SUM(INDEX(rw_Load,0,(COLUMN()-COLUMN(rw_LoadOrigin)-1)))</f>
        <v>0</v>
      </c>
      <c r="G61" s="61" t="n">
        <f aca="false">SUM(INDEX(rw_Load,0,(COLUMN()-COLUMN(rw_LoadOrigin)-1)))</f>
        <v>0</v>
      </c>
      <c r="H61" s="61" t="n">
        <f aca="false">SUM(INDEX(rw_Load,0,(COLUMN()-COLUMN(rw_LoadOrigin)-1)))</f>
        <v>0</v>
      </c>
      <c r="I61" s="61" t="n">
        <f aca="false">SUM(INDEX(rw_Load,0,(COLUMN()-COLUMN(rw_LoadOrigin)-1)))</f>
        <v>0</v>
      </c>
      <c r="J61" s="61" t="n">
        <f aca="false">SUM(INDEX(rw_Load,0,(COLUMN()-COLUMN(rw_LoadOrigin)-1)))</f>
        <v>0</v>
      </c>
      <c r="K61" s="61" t="n">
        <f aca="false">SUM(INDEX(rw_Load,0,(COLUMN()-COLUMN(rw_LoadOrigin)-1)))</f>
        <v>0</v>
      </c>
      <c r="L61" s="61" t="n">
        <f aca="false">SUM(INDEX(rw_Load,0,(COLUMN()-COLUMN(rw_LoadOrigin)-1)))</f>
        <v>0</v>
      </c>
      <c r="M61" s="61" t="n">
        <f aca="false">SUM(INDEX(rw_Load,0,(COLUMN()-COLUMN(rw_LoadOrigin)-1)))</f>
        <v>0</v>
      </c>
      <c r="N61" s="61" t="n">
        <f aca="false">SUM(INDEX(rw_Load,0,(COLUMN()-COLUMN(rw_LoadOrigin)-1)))</f>
        <v>0</v>
      </c>
      <c r="O61" s="61" t="n">
        <f aca="false">SUM(INDEX(rw_Load,0,(COLUMN()-COLUMN(rw_LoadOrigin)-1)))</f>
        <v>0</v>
      </c>
      <c r="P61" s="61" t="n">
        <f aca="false">SUM(INDEX(rw_Load,0,(COLUMN()-COLUMN(rw_LoadOrigin)-1)))</f>
        <v>0</v>
      </c>
      <c r="Q61" s="61" t="n">
        <f aca="false">SUM(INDEX(rw_Load,0,(COLUMN()-COLUMN(rw_LoadOrigin)-1)))</f>
        <v>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246</v>
      </c>
      <c r="D62" s="61" t="n">
        <f aca="false">SUMIFS(res_MaxUnits,res_Type,"Work")*HoursPerDay*INDEX(rw_WeekDays,(COLUMN()-COLUMN(rw_LoadOrigin)-1))-(HoursPerDay*SUMPRODUCT((INDEX(res_Type,1):INDEX(res_Type,ROWS(rw_Leave))="Work")*INDEX(res_MaxUnits,1):INDEX(res_MaxUnits,ROWS(rw_Leave))*INDEX(rw_Leave,0,(COLUMN()-COLUMN(rw_LoadOrigin)-1))))</f>
        <v>0</v>
      </c>
      <c r="E62" s="61" t="n">
        <f aca="false">SUMIFS(res_MaxUnits,res_Type,"Work")*HoursPerDay*INDEX(rw_WeekDays,(COLUMN()-COLUMN(rw_LoadOrigin)-1))-(HoursPerDay*SUMPRODUCT((INDEX(res_Type,1):INDEX(res_Type,ROWS(rw_Leave))="Work")*INDEX(res_MaxUnits,1):INDEX(res_MaxUnits,ROWS(rw_Leave))*INDEX(rw_Leave,0,(COLUMN()-COLUMN(rw_LoadOrigin)-1))))</f>
        <v>0</v>
      </c>
      <c r="F62" s="61" t="n">
        <f aca="false">SUMIFS(res_MaxUnits,res_Type,"Work")*HoursPerDay*INDEX(rw_WeekDays,(COLUMN()-COLUMN(rw_LoadOrigin)-1))-(HoursPerDay*SUMPRODUCT((INDEX(res_Type,1):INDEX(res_Type,ROWS(rw_Leave))="Work")*INDEX(res_MaxUnits,1):INDEX(res_MaxUnits,ROWS(rw_Leave))*INDEX(rw_Leave,0,(COLUMN()-COLUMN(rw_LoadOrigin)-1))))</f>
        <v>0</v>
      </c>
      <c r="G62" s="61" t="n">
        <f aca="false">SUMIFS(res_MaxUnits,res_Type,"Work")*HoursPerDay*INDEX(rw_WeekDays,(COLUMN()-COLUMN(rw_LoadOrigin)-1))-(HoursPerDay*SUMPRODUCT((INDEX(res_Type,1):INDEX(res_Type,ROWS(rw_Leave))="Work")*INDEX(res_MaxUnits,1):INDEX(res_MaxUnits,ROWS(rw_Leave))*INDEX(rw_Leave,0,(COLUMN()-COLUMN(rw_LoadOrigin)-1))))</f>
        <v>0</v>
      </c>
      <c r="H62" s="61" t="n">
        <f aca="false">SUMIFS(res_MaxUnits,res_Type,"Work")*HoursPerDay*INDEX(rw_WeekDays,(COLUMN()-COLUMN(rw_LoadOrigin)-1))-(HoursPerDay*SUMPRODUCT((INDEX(res_Type,1):INDEX(res_Type,ROWS(rw_Leave))="Work")*INDEX(res_MaxUnits,1):INDEX(res_MaxUnits,ROWS(rw_Leave))*INDEX(rw_Leave,0,(COLUMN()-COLUMN(rw_LoadOrigin)-1))))</f>
        <v>0</v>
      </c>
      <c r="I62" s="61" t="n">
        <f aca="false">SUMIFS(res_MaxUnits,res_Type,"Work")*HoursPerDay*INDEX(rw_WeekDays,(COLUMN()-COLUMN(rw_LoadOrigin)-1))-(HoursPerDay*SUMPRODUCT((INDEX(res_Type,1):INDEX(res_Type,ROWS(rw_Leave))="Work")*INDEX(res_MaxUnits,1):INDEX(res_MaxUnits,ROWS(rw_Leave))*INDEX(rw_Leave,0,(COLUMN()-COLUMN(rw_LoadOrigin)-1))))</f>
        <v>0</v>
      </c>
      <c r="J62" s="61" t="n">
        <f aca="false">SUMIFS(res_MaxUnits,res_Type,"Work")*HoursPerDay*INDEX(rw_WeekDays,(COLUMN()-COLUMN(rw_LoadOrigin)-1))-(HoursPerDay*SUMPRODUCT((INDEX(res_Type,1):INDEX(res_Type,ROWS(rw_Leave))="Work")*INDEX(res_MaxUnits,1):INDEX(res_MaxUnits,ROWS(rw_Leave))*INDEX(rw_Leave,0,(COLUMN()-COLUMN(rw_LoadOrigin)-1))))</f>
        <v>0</v>
      </c>
      <c r="K62" s="61" t="n">
        <f aca="false">SUMIFS(res_MaxUnits,res_Type,"Work")*HoursPerDay*INDEX(rw_WeekDays,(COLUMN()-COLUMN(rw_LoadOrigin)-1))-(HoursPerDay*SUMPRODUCT((INDEX(res_Type,1):INDEX(res_Type,ROWS(rw_Leave))="Work")*INDEX(res_MaxUnits,1):INDEX(res_MaxUnits,ROWS(rw_Leave))*INDEX(rw_Leave,0,(COLUMN()-COLUMN(rw_LoadOrigin)-1))))</f>
        <v>0</v>
      </c>
      <c r="L62" s="61" t="n">
        <f aca="false">SUMIFS(res_MaxUnits,res_Type,"Work")*HoursPerDay*INDEX(rw_WeekDays,(COLUMN()-COLUMN(rw_LoadOrigin)-1))-(HoursPerDay*SUMPRODUCT((INDEX(res_Type,1):INDEX(res_Type,ROWS(rw_Leave))="Work")*INDEX(res_MaxUnits,1):INDEX(res_MaxUnits,ROWS(rw_Leave))*INDEX(rw_Leave,0,(COLUMN()-COLUMN(rw_LoadOrigin)-1))))</f>
        <v>0</v>
      </c>
      <c r="M62" s="61" t="n">
        <f aca="false">SUMIFS(res_MaxUnits,res_Type,"Work")*HoursPerDay*INDEX(rw_WeekDays,(COLUMN()-COLUMN(rw_LoadOrigin)-1))-(HoursPerDay*SUMPRODUCT((INDEX(res_Type,1):INDEX(res_Type,ROWS(rw_Leave))="Work")*INDEX(res_MaxUnits,1):INDEX(res_MaxUnits,ROWS(rw_Leave))*INDEX(rw_Leave,0,(COLUMN()-COLUMN(rw_LoadOrigin)-1))))</f>
        <v>0</v>
      </c>
      <c r="N62" s="61" t="n">
        <f aca="false">SUMIFS(res_MaxUnits,res_Type,"Work")*HoursPerDay*INDEX(rw_WeekDays,(COLUMN()-COLUMN(rw_LoadOrigin)-1))-(HoursPerDay*SUMPRODUCT((INDEX(res_Type,1):INDEX(res_Type,ROWS(rw_Leave))="Work")*INDEX(res_MaxUnits,1):INDEX(res_MaxUnits,ROWS(rw_Leave))*INDEX(rw_Leave,0,(COLUMN()-COLUMN(rw_LoadOrigin)-1))))</f>
        <v>0</v>
      </c>
      <c r="O62" s="61" t="n">
        <f aca="false">SUMIFS(res_MaxUnits,res_Type,"Work")*HoursPerDay*INDEX(rw_WeekDays,(COLUMN()-COLUMN(rw_LoadOrigin)-1))-(HoursPerDay*SUMPRODUCT((INDEX(res_Type,1):INDEX(res_Type,ROWS(rw_Leave))="Work")*INDEX(res_MaxUnits,1):INDEX(res_MaxUnits,ROWS(rw_Leave))*INDEX(rw_Leave,0,(COLUMN()-COLUMN(rw_LoadOrigin)-1))))</f>
        <v>0</v>
      </c>
      <c r="P62" s="61" t="n">
        <f aca="false">SUMIFS(res_MaxUnits,res_Type,"Work")*HoursPerDay*INDEX(rw_WeekDays,(COLUMN()-COLUMN(rw_LoadOrigin)-1))-(HoursPerDay*SUMPRODUCT((INDEX(res_Type,1):INDEX(res_Type,ROWS(rw_Leave))="Work")*INDEX(res_MaxUnits,1):INDEX(res_MaxUnits,ROWS(rw_Leave))*INDEX(rw_Leave,0,(COLUMN()-COLUMN(rw_LoadOrigin)-1))))</f>
        <v>0</v>
      </c>
      <c r="Q62" s="61" t="n">
        <f aca="false">SUMIFS(res_MaxUnits,res_Type,"Work")*HoursPerDay*INDEX(rw_WeekDays,(COLUMN()-COLUMN(rw_LoadOrigin)-1))-(HoursPerDay*SUMPRODUCT((INDEX(res_Type,1):INDEX(res_Type,ROWS(rw_Leave))="Work")*INDEX(res_MaxUnits,1):INDEX(res_MaxUnits,ROWS(rw_Leave))*INDEX(rw_Leave,0,(COLUMN()-COLUMN(rw_LoadOrigin)-1))))</f>
        <v>0</v>
      </c>
      <c r="R62" s="61" t="n">
        <f aca="false">SUMIFS(res_MaxUnits,res_Type,"Work")*HoursPerDay*INDEX(rw_WeekDays,(COLUMN()-COLUMN(rw_LoadOrigin)-1))-(HoursPerDay*SUMPRODUCT((INDEX(res_Type,1):INDEX(res_Type,ROWS(rw_Leave))="Work")*INDEX(res_MaxUnits,1):INDEX(res_MaxUnits,ROWS(rw_Leave))*INDEX(rw_Leave,0,(COLUMN()-COLUMN(rw_LoadOrigin)-1))))</f>
        <v>0</v>
      </c>
      <c r="S62" s="61" t="n">
        <f aca="false">SUMIFS(res_MaxUnits,res_Type,"Work")*HoursPerDay*INDEX(rw_WeekDays,(COLUMN()-COLUMN(rw_LoadOrigin)-1))-(HoursPerDay*SUMPRODUCT((INDEX(res_Type,1):INDEX(res_Type,ROWS(rw_Leave))="Work")*INDEX(res_MaxUnits,1):INDEX(res_MaxUnits,ROWS(rw_Leave))*INDEX(rw_Leave,0,(COLUMN()-COLUMN(rw_LoadOrigin)-1))))</f>
        <v>0</v>
      </c>
      <c r="T62" s="61" t="n">
        <f aca="false">SUMIFS(res_MaxUnits,res_Type,"Work")*HoursPerDay*INDEX(rw_WeekDays,(COLUMN()-COLUMN(rw_LoadOrigin)-1))-(HoursPerDay*SUMPRODUCT((INDEX(res_Type,1):INDEX(res_Type,ROWS(rw_Leave))="Work")*INDEX(res_MaxUnits,1):INDEX(res_MaxUnits,ROWS(rw_Leave))*INDEX(rw_Leave,0,(COLUMN()-COLUMN(rw_LoadOrigin)-1))))</f>
        <v>0</v>
      </c>
      <c r="U62" s="61" t="n">
        <f aca="false">SUMIFS(res_MaxUnits,res_Type,"Work")*HoursPerDay*INDEX(rw_WeekDays,(COLUMN()-COLUMN(rw_LoadOrigin)-1))-(HoursPerDay*SUMPRODUCT((INDEX(res_Type,1):INDEX(res_Type,ROWS(rw_Leave))="Work")*INDEX(res_MaxUnits,1):INDEX(res_MaxUnits,ROWS(rw_Leave))*INDEX(rw_Leave,0,(COLUMN()-COLUMN(rw_LoadOrigin)-1))))</f>
        <v>0</v>
      </c>
      <c r="V62" s="61" t="n">
        <f aca="false">SUMIFS(res_MaxUnits,res_Type,"Work")*HoursPerDay*INDEX(rw_WeekDays,(COLUMN()-COLUMN(rw_LoadOrigin)-1))-(HoursPerDay*SUMPRODUCT((INDEX(res_Type,1):INDEX(res_Type,ROWS(rw_Leave))="Work")*INDEX(res_MaxUnits,1):INDEX(res_MaxUnits,ROWS(rw_Leave))*INDEX(rw_Leave,0,(COLUMN()-COLUMN(rw_LoadOrigin)-1))))</f>
        <v>0</v>
      </c>
      <c r="W62" s="61" t="n">
        <f aca="false">SUMIFS(res_MaxUnits,res_Type,"Work")*HoursPerDay*INDEX(rw_WeekDays,(COLUMN()-COLUMN(rw_LoadOrigin)-1))-(HoursPerDay*SUMPRODUCT((INDEX(res_Type,1):INDEX(res_Type,ROWS(rw_Leave))="Work")*INDEX(res_MaxUnits,1):INDEX(res_MaxUnits,ROWS(rw_Leave))*INDEX(rw_Leave,0,(COLUMN()-COLUMN(rw_LoadOrigin)-1))))</f>
        <v>0</v>
      </c>
      <c r="X62" s="61" t="n">
        <f aca="false">SUMIFS(res_MaxUnits,res_Type,"Work")*HoursPerDay*INDEX(rw_WeekDays,(COLUMN()-COLUMN(rw_LoadOrigin)-1))-(HoursPerDay*SUMPRODUCT((INDEX(res_Type,1):INDEX(res_Type,ROWS(rw_Leave))="Work")*INDEX(res_MaxUnits,1):INDEX(res_MaxUnits,ROWS(rw_Leave))*INDEX(rw_Leave,0,(COLUMN()-COLUMN(rw_LoadOrigin)-1))))</f>
        <v>0</v>
      </c>
      <c r="Y62" s="61" t="n">
        <f aca="false">SUMIFS(res_MaxUnits,res_Type,"Work")*HoursPerDay*INDEX(rw_WeekDays,(COLUMN()-COLUMN(rw_LoadOrigin)-1))-(HoursPerDay*SUMPRODUCT((INDEX(res_Type,1):INDEX(res_Type,ROWS(rw_Leave))="Work")*INDEX(res_MaxUnits,1):INDEX(res_MaxUnits,ROWS(rw_Leave))*INDEX(rw_Leave,0,(COLUMN()-COLUMN(rw_LoadOrigin)-1))))</f>
        <v>0</v>
      </c>
      <c r="Z62" s="61" t="n">
        <f aca="false">SUMIFS(res_MaxUnits,res_Type,"Work")*HoursPerDay*INDEX(rw_WeekDays,(COLUMN()-COLUMN(rw_LoadOrigin)-1))-(HoursPerDay*SUMPRODUCT((INDEX(res_Type,1):INDEX(res_Type,ROWS(rw_Leave))="Work")*INDEX(res_MaxUnits,1):INDEX(res_MaxUnits,ROWS(rw_Leave))*INDEX(rw_Leave,0,(COLUMN()-COLUMN(rw_LoadOrigin)-1))))</f>
        <v>0</v>
      </c>
      <c r="AA62" s="61" t="n">
        <f aca="false">SUMIFS(res_MaxUnits,res_Type,"Work")*HoursPerDay*INDEX(rw_WeekDays,(COLUMN()-COLUMN(rw_LoadOrigin)-1))-(HoursPerDay*SUMPRODUCT((INDEX(res_Type,1):INDEX(res_Type,ROWS(rw_Leave))="Work")*INDEX(res_MaxUnits,1):INDEX(res_MaxUnits,ROWS(rw_Leave))*INDEX(rw_Leave,0,(COLUMN()-COLUMN(rw_LoadOrigin)-1))))</f>
        <v>0</v>
      </c>
      <c r="AB62" s="61" t="n">
        <f aca="false">SUMIFS(res_MaxUnits,res_Type,"Work")*HoursPerDay*INDEX(rw_WeekDays,(COLUMN()-COLUMN(rw_LoadOrigin)-1))-(HoursPerDay*SUMPRODUCT((INDEX(res_Type,1):INDEX(res_Type,ROWS(rw_Leave))="Work")*INDEX(res_MaxUnits,1):INDEX(res_MaxUnits,ROWS(rw_Leave))*INDEX(rw_Leave,0,(COLUMN()-COLUMN(rw_LoadOrigin)-1))))</f>
        <v>0</v>
      </c>
      <c r="AC62" s="61"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55" t="s">
        <v>247</v>
      </c>
    </row>
    <row r="66" customFormat="false" ht="15" hidden="false" customHeight="false" outlineLevel="0" collapsed="false">
      <c r="B66" s="9" t="s">
        <v>225</v>
      </c>
      <c r="C66" s="9" t="s">
        <v>231</v>
      </c>
      <c r="D66" s="56" t="n">
        <f aca="false">(ResourceWeekStart+7*((COLUMN()-COLUMN(rw_UtilOrigin)-1)-1))</f>
        <v>2</v>
      </c>
      <c r="E66" s="56" t="n">
        <f aca="false">(ResourceWeekStart+7*((COLUMN()-COLUMN(rw_UtilOrigin)-1)-1))</f>
        <v>9</v>
      </c>
      <c r="F66" s="56" t="n">
        <f aca="false">(ResourceWeekStart+7*((COLUMN()-COLUMN(rw_UtilOrigin)-1)-1))</f>
        <v>16</v>
      </c>
      <c r="G66" s="56" t="n">
        <f aca="false">(ResourceWeekStart+7*((COLUMN()-COLUMN(rw_UtilOrigin)-1)-1))</f>
        <v>23</v>
      </c>
      <c r="H66" s="56" t="n">
        <f aca="false">(ResourceWeekStart+7*((COLUMN()-COLUMN(rw_UtilOrigin)-1)-1))</f>
        <v>30</v>
      </c>
      <c r="I66" s="56" t="n">
        <f aca="false">(ResourceWeekStart+7*((COLUMN()-COLUMN(rw_UtilOrigin)-1)-1))</f>
        <v>37</v>
      </c>
      <c r="J66" s="56" t="n">
        <f aca="false">(ResourceWeekStart+7*((COLUMN()-COLUMN(rw_UtilOrigin)-1)-1))</f>
        <v>44</v>
      </c>
      <c r="K66" s="56" t="n">
        <f aca="false">(ResourceWeekStart+7*((COLUMN()-COLUMN(rw_UtilOrigin)-1)-1))</f>
        <v>51</v>
      </c>
      <c r="L66" s="56" t="n">
        <f aca="false">(ResourceWeekStart+7*((COLUMN()-COLUMN(rw_UtilOrigin)-1)-1))</f>
        <v>58</v>
      </c>
      <c r="M66" s="56" t="n">
        <f aca="false">(ResourceWeekStart+7*((COLUMN()-COLUMN(rw_UtilOrigin)-1)-1))</f>
        <v>65</v>
      </c>
      <c r="N66" s="56" t="n">
        <f aca="false">(ResourceWeekStart+7*((COLUMN()-COLUMN(rw_UtilOrigin)-1)-1))</f>
        <v>72</v>
      </c>
      <c r="O66" s="56" t="n">
        <f aca="false">(ResourceWeekStart+7*((COLUMN()-COLUMN(rw_UtilOrigin)-1)-1))</f>
        <v>79</v>
      </c>
      <c r="P66" s="56" t="n">
        <f aca="false">(ResourceWeekStart+7*((COLUMN()-COLUMN(rw_UtilOrigin)-1)-1))</f>
        <v>86</v>
      </c>
      <c r="Q66" s="56" t="n">
        <f aca="false">(ResourceWeekStart+7*((COLUMN()-COLUMN(rw_UtilOrigin)-1)-1))</f>
        <v>93</v>
      </c>
      <c r="R66" s="56" t="n">
        <f aca="false">(ResourceWeekStart+7*((COLUMN()-COLUMN(rw_UtilOrigin)-1)-1))</f>
        <v>100</v>
      </c>
      <c r="S66" s="56" t="n">
        <f aca="false">(ResourceWeekStart+7*((COLUMN()-COLUMN(rw_UtilOrigin)-1)-1))</f>
        <v>107</v>
      </c>
      <c r="T66" s="56" t="n">
        <f aca="false">(ResourceWeekStart+7*((COLUMN()-COLUMN(rw_UtilOrigin)-1)-1))</f>
        <v>114</v>
      </c>
      <c r="U66" s="56" t="n">
        <f aca="false">(ResourceWeekStart+7*((COLUMN()-COLUMN(rw_UtilOrigin)-1)-1))</f>
        <v>121</v>
      </c>
      <c r="V66" s="56" t="n">
        <f aca="false">(ResourceWeekStart+7*((COLUMN()-COLUMN(rw_UtilOrigin)-1)-1))</f>
        <v>128</v>
      </c>
      <c r="W66" s="56" t="n">
        <f aca="false">(ResourceWeekStart+7*((COLUMN()-COLUMN(rw_UtilOrigin)-1)-1))</f>
        <v>135</v>
      </c>
      <c r="X66" s="56" t="n">
        <f aca="false">(ResourceWeekStart+7*((COLUMN()-COLUMN(rw_UtilOrigin)-1)-1))</f>
        <v>142</v>
      </c>
      <c r="Y66" s="56" t="n">
        <f aca="false">(ResourceWeekStart+7*((COLUMN()-COLUMN(rw_UtilOrigin)-1)-1))</f>
        <v>149</v>
      </c>
      <c r="Z66" s="56" t="n">
        <f aca="false">(ResourceWeekStart+7*((COLUMN()-COLUMN(rw_UtilOrigin)-1)-1))</f>
        <v>156</v>
      </c>
      <c r="AA66" s="56" t="n">
        <f aca="false">(ResourceWeekStart+7*((COLUMN()-COLUMN(rw_UtilOrigin)-1)-1))</f>
        <v>163</v>
      </c>
      <c r="AB66" s="56" t="n">
        <f aca="false">(ResourceWeekStart+7*((COLUMN()-COLUMN(rw_UtilOrigin)-1)-1))</f>
        <v>170</v>
      </c>
      <c r="AC66" s="56" t="n">
        <f aca="false">(ResourceWeekStart+7*((COLUMN()-COLUMN(rw_UtilOrigin)-1)-1))</f>
        <v>177</v>
      </c>
    </row>
    <row r="67" customFormat="false" ht="15" hidden="false" customHeight="false" outlineLevel="0" collapsed="false">
      <c r="B67" s="57" t="s">
        <v>244</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5</v>
      </c>
      <c r="P67" s="58" t="n">
        <f aca="false">NETWORKDAYS.INTL((ResourceWeekStart+7*((COLUMN()-COLUMN(rw_UtilOrigin)-1)-1)),(ResourceWeekStart+7*((COLUMN()-COLUMN(rw_UtilOrigin)-1)-1))+6,WorkWeek,Holidays)</f>
        <v>5</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9" t="str">
        <f aca="false">IFERROR(IF(INDEX(res_Name,(ROW()-ROW(rw_UtilOrigin)-1))="","",INDEX(res_MaxUnits,(ROW()-ROW(rw_UtilOrigin)-1))),"")</f>
        <v/>
      </c>
      <c r="D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31" t="str">
        <f aca="false">IFERROR(INDEX(res_Name,(ROW()-ROW(rw_UtilOrigin)-1))&amp;"","")</f>
        <v/>
      </c>
      <c r="C69" s="59" t="str">
        <f aca="false">IFERROR(IF(INDEX(res_Name,(ROW()-ROW(rw_UtilOrigin)-1))="","",INDEX(res_MaxUnits,(ROW()-ROW(rw_UtilOrigin)-1))),"")</f>
        <v/>
      </c>
      <c r="D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31" t="str">
        <f aca="false">IFERROR(INDEX(res_Name,(ROW()-ROW(rw_UtilOrigin)-1))&amp;"","")</f>
        <v/>
      </c>
      <c r="C70" s="59" t="str">
        <f aca="false">IFERROR(IF(INDEX(res_Name,(ROW()-ROW(rw_UtilOrigin)-1))="","",INDEX(res_MaxUnits,(ROW()-ROW(rw_UtilOrigin)-1))),"")</f>
        <v/>
      </c>
      <c r="D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31" t="str">
        <f aca="false">IFERROR(INDEX(res_Name,(ROW()-ROW(rw_UtilOrigin)-1))&amp;"","")</f>
        <v/>
      </c>
      <c r="C71" s="59" t="str">
        <f aca="false">IFERROR(IF(INDEX(res_Name,(ROW()-ROW(rw_UtilOrigin)-1))="","",INDEX(res_MaxUnits,(ROW()-ROW(rw_UtilOrigin)-1))),"")</f>
        <v/>
      </c>
      <c r="D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31" t="str">
        <f aca="false">IFERROR(INDEX(res_Name,(ROW()-ROW(rw_UtilOrigin)-1))&amp;"","")</f>
        <v/>
      </c>
      <c r="C72" s="59" t="str">
        <f aca="false">IFERROR(IF(INDEX(res_Name,(ROW()-ROW(rw_UtilOrigin)-1))="","",INDEX(res_MaxUnits,(ROW()-ROW(rw_UtilOrigin)-1))),"")</f>
        <v/>
      </c>
      <c r="D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31" t="str">
        <f aca="false">IFERROR(INDEX(res_Name,(ROW()-ROW(rw_UtilOrigin)-1))&amp;"","")</f>
        <v/>
      </c>
      <c r="C73" s="59" t="str">
        <f aca="false">IFERROR(IF(INDEX(res_Name,(ROW()-ROW(rw_UtilOrigin)-1))="","",INDEX(res_MaxUnits,(ROW()-ROW(rw_UtilOrigin)-1))),"")</f>
        <v/>
      </c>
      <c r="D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31" t="str">
        <f aca="false">IFERROR(INDEX(res_Name,(ROW()-ROW(rw_UtilOrigin)-1))&amp;"","")</f>
        <v/>
      </c>
      <c r="C74" s="59" t="str">
        <f aca="false">IFERROR(IF(INDEX(res_Name,(ROW()-ROW(rw_UtilOrigin)-1))="","",INDEX(res_MaxUnits,(ROW()-ROW(rw_UtilOrigin)-1))),"")</f>
        <v/>
      </c>
      <c r="D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5" t="s">
        <v>248</v>
      </c>
    </row>
    <row r="96" customFormat="false" ht="23.85" hidden="false" customHeight="false" outlineLevel="0" collapsed="false">
      <c r="B96" s="9" t="s">
        <v>225</v>
      </c>
      <c r="C96" s="40" t="s">
        <v>249</v>
      </c>
      <c r="D96" s="56" t="n">
        <f aca="false">(ResourceWeekStart+7*((COLUMN()-COLUMN(rw_LeaveOrigin)-1)-1))</f>
        <v>2</v>
      </c>
      <c r="E96" s="56" t="n">
        <f aca="false">(ResourceWeekStart+7*((COLUMN()-COLUMN(rw_LeaveOrigin)-1)-1))</f>
        <v>9</v>
      </c>
      <c r="F96" s="56" t="n">
        <f aca="false">(ResourceWeekStart+7*((COLUMN()-COLUMN(rw_LeaveOrigin)-1)-1))</f>
        <v>16</v>
      </c>
      <c r="G96" s="56" t="n">
        <f aca="false">(ResourceWeekStart+7*((COLUMN()-COLUMN(rw_LeaveOrigin)-1)-1))</f>
        <v>23</v>
      </c>
      <c r="H96" s="56" t="n">
        <f aca="false">(ResourceWeekStart+7*((COLUMN()-COLUMN(rw_LeaveOrigin)-1)-1))</f>
        <v>30</v>
      </c>
      <c r="I96" s="56" t="n">
        <f aca="false">(ResourceWeekStart+7*((COLUMN()-COLUMN(rw_LeaveOrigin)-1)-1))</f>
        <v>37</v>
      </c>
      <c r="J96" s="56" t="n">
        <f aca="false">(ResourceWeekStart+7*((COLUMN()-COLUMN(rw_LeaveOrigin)-1)-1))</f>
        <v>44</v>
      </c>
      <c r="K96" s="56" t="n">
        <f aca="false">(ResourceWeekStart+7*((COLUMN()-COLUMN(rw_LeaveOrigin)-1)-1))</f>
        <v>51</v>
      </c>
      <c r="L96" s="56" t="n">
        <f aca="false">(ResourceWeekStart+7*((COLUMN()-COLUMN(rw_LeaveOrigin)-1)-1))</f>
        <v>58</v>
      </c>
      <c r="M96" s="56" t="n">
        <f aca="false">(ResourceWeekStart+7*((COLUMN()-COLUMN(rw_LeaveOrigin)-1)-1))</f>
        <v>65</v>
      </c>
      <c r="N96" s="56" t="n">
        <f aca="false">(ResourceWeekStart+7*((COLUMN()-COLUMN(rw_LeaveOrigin)-1)-1))</f>
        <v>72</v>
      </c>
      <c r="O96" s="56" t="n">
        <f aca="false">(ResourceWeekStart+7*((COLUMN()-COLUMN(rw_LeaveOrigin)-1)-1))</f>
        <v>79</v>
      </c>
      <c r="P96" s="56" t="n">
        <f aca="false">(ResourceWeekStart+7*((COLUMN()-COLUMN(rw_LeaveOrigin)-1)-1))</f>
        <v>86</v>
      </c>
      <c r="Q96" s="56" t="n">
        <f aca="false">(ResourceWeekStart+7*((COLUMN()-COLUMN(rw_LeaveOrigin)-1)-1))</f>
        <v>93</v>
      </c>
      <c r="R96" s="56" t="n">
        <f aca="false">(ResourceWeekStart+7*((COLUMN()-COLUMN(rw_LeaveOrigin)-1)-1))</f>
        <v>100</v>
      </c>
      <c r="S96" s="56" t="n">
        <f aca="false">(ResourceWeekStart+7*((COLUMN()-COLUMN(rw_LeaveOrigin)-1)-1))</f>
        <v>107</v>
      </c>
      <c r="T96" s="56" t="n">
        <f aca="false">(ResourceWeekStart+7*((COLUMN()-COLUMN(rw_LeaveOrigin)-1)-1))</f>
        <v>114</v>
      </c>
      <c r="U96" s="56" t="n">
        <f aca="false">(ResourceWeekStart+7*((COLUMN()-COLUMN(rw_LeaveOrigin)-1)-1))</f>
        <v>121</v>
      </c>
      <c r="V96" s="56" t="n">
        <f aca="false">(ResourceWeekStart+7*((COLUMN()-COLUMN(rw_LeaveOrigin)-1)-1))</f>
        <v>128</v>
      </c>
      <c r="W96" s="56" t="n">
        <f aca="false">(ResourceWeekStart+7*((COLUMN()-COLUMN(rw_LeaveOrigin)-1)-1))</f>
        <v>135</v>
      </c>
      <c r="X96" s="56" t="n">
        <f aca="false">(ResourceWeekStart+7*((COLUMN()-COLUMN(rw_LeaveOrigin)-1)-1))</f>
        <v>142</v>
      </c>
      <c r="Y96" s="56" t="n">
        <f aca="false">(ResourceWeekStart+7*((COLUMN()-COLUMN(rw_LeaveOrigin)-1)-1))</f>
        <v>149</v>
      </c>
      <c r="Z96" s="56" t="n">
        <f aca="false">(ResourceWeekStart+7*((COLUMN()-COLUMN(rw_LeaveOrigin)-1)-1))</f>
        <v>156</v>
      </c>
      <c r="AA96" s="56" t="n">
        <f aca="false">(ResourceWeekStart+7*((COLUMN()-COLUMN(rw_LeaveOrigin)-1)-1))</f>
        <v>163</v>
      </c>
      <c r="AB96" s="56" t="n">
        <f aca="false">(ResourceWeekStart+7*((COLUMN()-COLUMN(rw_LeaveOrigin)-1)-1))</f>
        <v>170</v>
      </c>
      <c r="AC96" s="56" t="n">
        <f aca="false">(ResourceWeekStart+7*((COLUMN()-COLUMN(rw_LeaveOrigin)-1)-1))</f>
        <v>177</v>
      </c>
    </row>
    <row r="97" customFormat="false" ht="15" hidden="false" customHeight="false" outlineLevel="0" collapsed="false">
      <c r="B97" s="63" t="s">
        <v>250</v>
      </c>
      <c r="D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63" t="s">
        <v>251</v>
      </c>
      <c r="D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31" t="str">
        <f aca="false">IFERROR(INDEX(res_Name,(ROW()-ROW(rw_LeaveOrigin)-2))&amp;"","")</f>
        <v/>
      </c>
      <c r="C99" s="64" t="n">
        <f aca="false">IFERROR(IF(INDEX(res_Name,(ROW()-ROW(rw_LeaveOrigin)-2))="",0,IFERROR(MATCH(INDEX(res_Name,(ROW()-ROW(rw_LeaveOrigin)-2)),LeaveTable[Resource],0),0)),0)</f>
        <v>0</v>
      </c>
      <c r="D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
      </c>
      <c r="C100" s="64" t="n">
        <f aca="false">IFERROR(IF(INDEX(res_Name,(ROW()-ROW(rw_LeaveOrigin)-2))="",0,IFERROR(MATCH(INDEX(res_Name,(ROW()-ROW(rw_LeaveOrigin)-2)),LeaveTable[Resource],0),0)),0)</f>
        <v>0</v>
      </c>
      <c r="D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
      </c>
      <c r="C101" s="64" t="n">
        <f aca="false">IFERROR(IF(INDEX(res_Name,(ROW()-ROW(rw_LeaveOrigin)-2))="",0,IFERROR(MATCH(INDEX(res_Name,(ROW()-ROW(rw_LeaveOrigin)-2)),LeaveTable[Resource],0),0)),0)</f>
        <v>0</v>
      </c>
      <c r="D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
      </c>
      <c r="C102" s="64" t="n">
        <f aca="false">IFERROR(IF(INDEX(res_Name,(ROW()-ROW(rw_LeaveOrigin)-2))="",0,IFERROR(MATCH(INDEX(res_Name,(ROW()-ROW(rw_LeaveOrigin)-2)),LeaveTable[Resource],0),0)),0)</f>
        <v>0</v>
      </c>
      <c r="D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
      </c>
      <c r="C103" s="64" t="n">
        <f aca="false">IFERROR(IF(INDEX(res_Name,(ROW()-ROW(rw_LeaveOrigin)-2))="",0,IFERROR(MATCH(INDEX(res_Name,(ROW()-ROW(rw_LeaveOrigin)-2)),LeaveTable[Resource],0),0)),0)</f>
        <v>0</v>
      </c>
      <c r="D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
      </c>
      <c r="C104" s="64" t="n">
        <f aca="false">IFERROR(IF(INDEX(res_Name,(ROW()-ROW(rw_LeaveOrigin)-2))="",0,IFERROR(MATCH(INDEX(res_Name,(ROW()-ROW(rw_LeaveOrigin)-2)),LeaveTable[Resource],0),0)),0)</f>
        <v>0</v>
      </c>
      <c r="D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
      </c>
      <c r="C105" s="64" t="n">
        <f aca="false">IFERROR(IF(INDEX(res_Name,(ROW()-ROW(rw_LeaveOrigin)-2))="",0,IFERROR(MATCH(INDEX(res_Name,(ROW()-ROW(rw_LeaveOrigin)-2)),LeaveTable[Resource],0),0)),0)</f>
        <v>0</v>
      </c>
      <c r="D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4" t="n">
        <f aca="false">IFERROR(IF(INDEX(res_Name,(ROW()-ROW(rw_LeaveOrigin)-2))="",0,IFERROR(MATCH(INDEX(res_Name,(ROW()-ROW(rw_LeaveOrigin)-2)),LeaveTable[Resource],0),0)),0)</f>
        <v>0</v>
      </c>
      <c r="D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4" t="n">
        <f aca="false">IFERROR(IF(INDEX(res_Name,(ROW()-ROW(rw_LeaveOrigin)-2))="",0,IFERROR(MATCH(INDEX(res_Name,(ROW()-ROW(rw_LeaveOrigin)-2)),LeaveTable[Resource],0),0)),0)</f>
        <v>0</v>
      </c>
      <c r="D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4" t="n">
        <f aca="false">IFERROR(IF(INDEX(res_Name,(ROW()-ROW(rw_LeaveOrigin)-2))="",0,IFERROR(MATCH(INDEX(res_Name,(ROW()-ROW(rw_LeaveOrigin)-2)),LeaveTable[Resource],0),0)),0)</f>
        <v>0</v>
      </c>
      <c r="D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4" t="n">
        <f aca="false">IFERROR(IF(INDEX(res_Name,(ROW()-ROW(rw_LeaveOrigin)-2))="",0,IFERROR(MATCH(INDEX(res_Name,(ROW()-ROW(rw_LeaveOrigin)-2)),LeaveTable[Resource],0),0)),0)</f>
        <v>0</v>
      </c>
      <c r="D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4" t="n">
        <f aca="false">IFERROR(IF(INDEX(res_Name,(ROW()-ROW(rw_LeaveOrigin)-2))="",0,IFERROR(MATCH(INDEX(res_Name,(ROW()-ROW(rw_LeaveOrigin)-2)),LeaveTable[Resource],0),0)),0)</f>
        <v>0</v>
      </c>
      <c r="D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4" t="n">
        <f aca="false">IFERROR(IF(INDEX(res_Name,(ROW()-ROW(rw_LeaveOrigin)-2))="",0,IFERROR(MATCH(INDEX(res_Name,(ROW()-ROW(rw_LeaveOrigin)-2)),LeaveTable[Resource],0),0)),0)</f>
        <v>0</v>
      </c>
      <c r="D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4" t="n">
        <f aca="false">IFERROR(IF(INDEX(res_Name,(ROW()-ROW(rw_LeaveOrigin)-2))="",0,IFERROR(MATCH(INDEX(res_Name,(ROW()-ROW(rw_LeaveOrigin)-2)),LeaveTable[Resource],0),0)),0)</f>
        <v>0</v>
      </c>
      <c r="D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4" t="n">
        <f aca="false">IFERROR(IF(INDEX(res_Name,(ROW()-ROW(rw_LeaveOrigin)-2))="",0,IFERROR(MATCH(INDEX(res_Name,(ROW()-ROW(rw_LeaveOrigin)-2)),LeaveTable[Resource],0),0)),0)</f>
        <v>0</v>
      </c>
      <c r="D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4" t="n">
        <f aca="false">IFERROR(IF(INDEX(res_Name,(ROW()-ROW(rw_LeaveOrigin)-2))="",0,IFERROR(MATCH(INDEX(res_Name,(ROW()-ROW(rw_LeaveOrigin)-2)),LeaveTable[Resource],0),0)),0)</f>
        <v>0</v>
      </c>
      <c r="D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4" t="n">
        <f aca="false">IFERROR(IF(INDEX(res_Name,(ROW()-ROW(rw_LeaveOrigin)-2))="",0,IFERROR(MATCH(INDEX(res_Name,(ROW()-ROW(rw_LeaveOrigin)-2)),LeaveTable[Resource],0),0)),0)</f>
        <v>0</v>
      </c>
      <c r="D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4" t="n">
        <f aca="false">IFERROR(IF(INDEX(res_Name,(ROW()-ROW(rw_LeaveOrigin)-2))="",0,IFERROR(MATCH(INDEX(res_Name,(ROW()-ROW(rw_LeaveOrigin)-2)),LeaveTable[Resource],0),0)),0)</f>
        <v>0</v>
      </c>
      <c r="D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4" t="n">
        <f aca="false">IFERROR(IF(INDEX(res_Name,(ROW()-ROW(rw_LeaveOrigin)-2))="",0,IFERROR(MATCH(INDEX(res_Name,(ROW()-ROW(rw_LeaveOrigin)-2)),LeaveTable[Resource],0),0)),0)</f>
        <v>0</v>
      </c>
      <c r="D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4" t="n">
        <f aca="false">IFERROR(IF(INDEX(res_Name,(ROW()-ROW(rw_LeaveOrigin)-2))="",0,IFERROR(MATCH(INDEX(res_Name,(ROW()-ROW(rw_LeaveOrigin)-2)),LeaveTable[Resource],0),0)),0)</f>
        <v>0</v>
      </c>
      <c r="D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4" t="n">
        <f aca="false">IFERROR(IF(INDEX(res_Name,(ROW()-ROW(rw_LeaveOrigin)-2))="",0,IFERROR(MATCH(INDEX(res_Name,(ROW()-ROW(rw_LeaveOrigin)-2)),LeaveTable[Resource],0),0)),0)</f>
        <v>0</v>
      </c>
      <c r="D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4" t="n">
        <f aca="false">IFERROR(IF(INDEX(res_Name,(ROW()-ROW(rw_LeaveOrigin)-2))="",0,IFERROR(MATCH(INDEX(res_Name,(ROW()-ROW(rw_LeaveOrigin)-2)),LeaveTable[Resource],0),0)),0)</f>
        <v>0</v>
      </c>
      <c r="D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4" t="n">
        <f aca="false">IFERROR(IF(INDEX(res_Name,(ROW()-ROW(rw_LeaveOrigin)-2))="",0,IFERROR(MATCH(INDEX(res_Name,(ROW()-ROW(rw_LeaveOrigin)-2)),LeaveTable[Resource],0),0)),0)</f>
        <v>0</v>
      </c>
      <c r="D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4" t="n">
        <f aca="false">IFERROR(IF(INDEX(res_Name,(ROW()-ROW(rw_LeaveOrigin)-2))="",0,IFERROR(MATCH(INDEX(res_Name,(ROW()-ROW(rw_LeaveOrigin)-2)),LeaveTable[Resource],0),0)),0)</f>
        <v>0</v>
      </c>
      <c r="D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4" t="n">
        <f aca="false">IFERROR(IF(INDEX(res_Name,(ROW()-ROW(rw_LeaveOrigin)-2))="",0,IFERROR(MATCH(INDEX(res_Name,(ROW()-ROW(rw_LeaveOrigin)-2)),LeaveTable[Resource],0),0)),0)</f>
        <v>0</v>
      </c>
      <c r="D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6" t="s">
        <v>252</v>
      </c>
    </row>
    <row r="126" customFormat="false" ht="15" hidden="true" customHeight="false" outlineLevel="0" collapsed="false">
      <c r="D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7" customFormat="false" ht="15" hidden="true" customHeight="false" outlineLevel="0" collapsed="false">
      <c r="D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8" customFormat="false" ht="15" hidden="true" customHeight="false" outlineLevel="0" collapsed="false">
      <c r="D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9" customFormat="false" ht="15" hidden="true" customHeight="false" outlineLevel="0" collapsed="false">
      <c r="D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0" customFormat="false" ht="15" hidden="true" customHeight="false" outlineLevel="0" collapsed="false">
      <c r="D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1" customFormat="false" ht="15" hidden="true" customHeight="false" outlineLevel="0" collapsed="false">
      <c r="D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2" customFormat="false" ht="15" hidden="true" customHeight="false" outlineLevel="0" collapsed="false">
      <c r="D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3" customFormat="false" ht="15" hidden="true" customHeight="false" outlineLevel="0" collapsed="false">
      <c r="D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67"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3">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253</v>
      </c>
    </row>
    <row r="4" customFormat="false" ht="15" hidden="false" customHeight="false" outlineLevel="0" collapsed="false">
      <c r="C4" s="9" t="s">
        <v>130</v>
      </c>
      <c r="D4" s="9" t="s">
        <v>96</v>
      </c>
    </row>
    <row r="5" customFormat="false" ht="15" hidden="false" customHeight="false" outlineLevel="0" collapsed="false">
      <c r="C5" s="10" t="s">
        <v>254</v>
      </c>
      <c r="D5" s="68" t="n">
        <f aca="false">TotalPoints</f>
        <v>0</v>
      </c>
    </row>
    <row r="6" customFormat="false" ht="15" hidden="false" customHeight="false" outlineLevel="0" collapsed="false">
      <c r="C6" s="10" t="s">
        <v>255</v>
      </c>
      <c r="D6" s="68" t="n">
        <f aca="false">SUMIFS(tsk_LeafPoints,tsk_DoneDate,"&lt;="&amp;StatusDate)</f>
        <v>0</v>
      </c>
    </row>
    <row r="7" customFormat="false" ht="15" hidden="false" customHeight="false" outlineLevel="0" collapsed="false">
      <c r="C7" s="10" t="s">
        <v>235</v>
      </c>
      <c r="D7" s="68" t="n">
        <f aca="false">agl_Total-agl_Done</f>
        <v>0</v>
      </c>
    </row>
    <row r="8" customFormat="false" ht="15" hidden="false" customHeight="false" outlineLevel="0" collapsed="false">
      <c r="C8" s="10" t="s">
        <v>256</v>
      </c>
      <c r="D8" s="69" t="str">
        <f aca="false">IFERROR(LOOKUP(2,1/(spr_Velocity&lt;&gt;""),spr_Velocity),"")</f>
        <v/>
      </c>
    </row>
    <row r="9" customFormat="false" ht="15" hidden="false" customHeight="false" outlineLevel="0" collapsed="false">
      <c r="C9" s="10" t="s">
        <v>257</v>
      </c>
      <c r="D9" s="35" t="str">
        <f aca="false">IF(N(agl_Velocity)&gt;0,ROUNDUP(agl_Remaining/agl_Velocity,0),"")</f>
        <v/>
      </c>
    </row>
    <row r="10" customFormat="false" ht="15" hidden="false" customHeight="false" outlineLevel="0" collapsed="false">
      <c r="C10" s="10" t="s">
        <v>258</v>
      </c>
      <c r="D10" s="35" t="n">
        <f aca="false">COUNTIF(spr_Status,"Closed")</f>
        <v>0</v>
      </c>
    </row>
    <row r="11" customFormat="false" ht="15" hidden="false" customHeight="false" outlineLevel="0" collapsed="false">
      <c r="C11" s="10" t="s">
        <v>259</v>
      </c>
      <c r="D11" s="70" t="str">
        <f aca="false">IF(agl_SprintsLeft="","",IF(agl_LastClosed+agl_SprintsLeft&lt;=SprintCount,INDEX(spr_Name,agl_LastClosed+agl_SprintsLeft),"after "&amp;INDEX(spr_Name,SprintCount)))</f>
        <v/>
      </c>
    </row>
    <row r="12" customFormat="false" ht="15" hidden="false" customHeight="false" outlineLevel="0" collapsed="false">
      <c r="C12" s="10" t="s">
        <v>260</v>
      </c>
      <c r="D12" s="71" t="str">
        <f aca="false">IF(agl_SprintsLeft="","",IF(agl_LastClosed+agl_SprintsLeft&lt;=SprintCount,INDEX(spr_End,agl_LastClosed+agl_SprintsLeft),""))</f>
        <v/>
      </c>
    </row>
    <row r="13" customFormat="false" ht="15" hidden="false" customHeight="false" outlineLevel="0" collapsed="false">
      <c r="C13" s="10" t="s">
        <v>261</v>
      </c>
      <c r="D13" s="71" t="n">
        <f aca="false">ProjectFinish</f>
        <v>0</v>
      </c>
    </row>
    <row r="14" customFormat="false" ht="15" hidden="false" customHeight="false" outlineLevel="0" collapsed="false">
      <c r="C14" s="10" t="s">
        <v>114</v>
      </c>
      <c r="D14" s="70" t="str">
        <f aca="false">IF(CurrentSprint="","(outside sprint range)",CurrentSprint)</f>
        <v>Sprint 1</v>
      </c>
    </row>
    <row r="15" customFormat="false" ht="15" hidden="false" customHeight="false" outlineLevel="0" collapsed="false">
      <c r="C15" s="10" t="s">
        <v>262</v>
      </c>
      <c r="D15" s="68" t="n">
        <f aca="false">SUMIFS(tsk_LeafPoints,tsk_Sprint,CurrentSprint)</f>
        <v>0</v>
      </c>
    </row>
    <row r="16" customFormat="false" ht="15" hidden="false" customHeight="false" outlineLevel="0" collapsed="false">
      <c r="C16" s="10" t="s">
        <v>263</v>
      </c>
      <c r="D16" s="68" t="n">
        <f aca="false">SUMIFS(tsk_LeafPoints,tsk_Sprint,CurrentSprint,tsk_DoneDate,"&lt;="&amp;StatusDate)</f>
        <v>0</v>
      </c>
    </row>
    <row r="17" customFormat="false" ht="15" hidden="false" customHeight="false" outlineLevel="0" collapsed="false">
      <c r="C17" s="10" t="s">
        <v>264</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180</v>
      </c>
      <c r="C20" s="9" t="s">
        <v>187</v>
      </c>
      <c r="D20" s="9" t="s">
        <v>265</v>
      </c>
      <c r="E20" s="9" t="s">
        <v>225</v>
      </c>
      <c r="F20" s="9" t="s">
        <v>210</v>
      </c>
      <c r="G20" s="9" t="s">
        <v>212</v>
      </c>
      <c r="H20" s="9" t="s">
        <v>97</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72" t="str">
        <f aca="false">IF(SprintBacklog[[#This Row],[_Task]]="","",INDEX(tsk_StoryPoints,SprintBacklog[[#This Row],[_Task]]))</f>
        <v/>
      </c>
      <c r="E21" s="24" t="str">
        <f aca="false">IF(SprintBacklog[[#This Row],[_Task]]="","",INDEX(tsk_ResourceNames,SprintBacklog[[#This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2" t="str">
        <f aca="false">IF(SprintBacklog[[#This Row],[_Task]]="","",INDEX(tsk_StoryPoints,SprintBacklog[[#This Row],[_Task]]))</f>
        <v/>
      </c>
      <c r="E22" s="24" t="str">
        <f aca="false">IF(SprintBacklog[[#This Row],[_Task]]="","",INDEX(tsk_ResourceNames,SprintBacklog[[#This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2" t="str">
        <f aca="false">IF(SprintBacklog[[#This Row],[_Task]]="","",INDEX(tsk_StoryPoints,SprintBacklog[[#This Row],[_Task]]))</f>
        <v/>
      </c>
      <c r="E23" s="24" t="str">
        <f aca="false">IF(SprintBacklog[[#This Row],[_Task]]="","",INDEX(tsk_ResourceNames,SprintBacklog[[#This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2" t="str">
        <f aca="false">IF(SprintBacklog[[#This Row],[_Task]]="","",INDEX(tsk_StoryPoints,SprintBacklog[[#This Row],[_Task]]))</f>
        <v/>
      </c>
      <c r="E24" s="24" t="str">
        <f aca="false">IF(SprintBacklog[[#This Row],[_Task]]="","",INDEX(tsk_ResourceNames,SprintBacklog[[#This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2" t="str">
        <f aca="false">IF(SprintBacklog[[#This Row],[_Task]]="","",INDEX(tsk_StoryPoints,SprintBacklog[[#This Row],[_Task]]))</f>
        <v/>
      </c>
      <c r="E25" s="24" t="str">
        <f aca="false">IF(SprintBacklog[[#This Row],[_Task]]="","",INDEX(tsk_ResourceNames,SprintBacklog[[#This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2" t="str">
        <f aca="false">IF(SprintBacklog[[#This Row],[_Task]]="","",INDEX(tsk_StoryPoints,SprintBacklog[[#This Row],[_Task]]))</f>
        <v/>
      </c>
      <c r="E26" s="24" t="str">
        <f aca="false">IF(SprintBacklog[[#This Row],[_Task]]="","",INDEX(tsk_ResourceNames,SprintBacklog[[#This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2" t="str">
        <f aca="false">IF(SprintBacklog[[#This Row],[_Task]]="","",INDEX(tsk_StoryPoints,SprintBacklog[[#This Row],[_Task]]))</f>
        <v/>
      </c>
      <c r="E27" s="24" t="str">
        <f aca="false">IF(SprintBacklog[[#This Row],[_Task]]="","",INDEX(tsk_ResourceNames,SprintBacklog[[#This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2" t="str">
        <f aca="false">IF(SprintBacklog[[#This Row],[_Task]]="","",INDEX(tsk_StoryPoints,SprintBacklog[[#This Row],[_Task]]))</f>
        <v/>
      </c>
      <c r="E28" s="24" t="str">
        <f aca="false">IF(SprintBacklog[[#This Row],[_Task]]="","",INDEX(tsk_ResourceNames,SprintBacklog[[#This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2" t="str">
        <f aca="false">IF(SprintBacklog[[#This Row],[_Task]]="","",INDEX(tsk_StoryPoints,SprintBacklog[[#This Row],[_Task]]))</f>
        <v/>
      </c>
      <c r="E29" s="24" t="str">
        <f aca="false">IF(SprintBacklog[[#This Row],[_Task]]="","",INDEX(tsk_ResourceNames,SprintBacklog[[#This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2" t="str">
        <f aca="false">IF(SprintBacklog[[#This Row],[_Task]]="","",INDEX(tsk_StoryPoints,SprintBacklog[[#This Row],[_Task]]))</f>
        <v/>
      </c>
      <c r="E30" s="24" t="str">
        <f aca="false">IF(SprintBacklog[[#This Row],[_Task]]="","",INDEX(tsk_ResourceNames,SprintBacklog[[#This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2" t="str">
        <f aca="false">IF(SprintBacklog[[#This Row],[_Task]]="","",INDEX(tsk_StoryPoints,SprintBacklog[[#This Row],[_Task]]))</f>
        <v/>
      </c>
      <c r="E31" s="24" t="str">
        <f aca="false">IF(SprintBacklog[[#This Row],[_Task]]="","",INDEX(tsk_ResourceNames,SprintBacklog[[#This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2" t="str">
        <f aca="false">IF(SprintBacklog[[#This Row],[_Task]]="","",INDEX(tsk_StoryPoints,SprintBacklog[[#This Row],[_Task]]))</f>
        <v/>
      </c>
      <c r="E32" s="24" t="str">
        <f aca="false">IF(SprintBacklog[[#This Row],[_Task]]="","",INDEX(tsk_ResourceNames,SprintBacklog[[#This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2" t="str">
        <f aca="false">IF(SprintBacklog[[#This Row],[_Task]]="","",INDEX(tsk_StoryPoints,SprintBacklog[[#This Row],[_Task]]))</f>
        <v/>
      </c>
      <c r="E33" s="24" t="str">
        <f aca="false">IF(SprintBacklog[[#This Row],[_Task]]="","",INDEX(tsk_ResourceNames,SprintBacklog[[#This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2" t="str">
        <f aca="false">IF(SprintBacklog[[#This Row],[_Task]]="","",INDEX(tsk_StoryPoints,SprintBacklog[[#This Row],[_Task]]))</f>
        <v/>
      </c>
      <c r="E34" s="24" t="str">
        <f aca="false">IF(SprintBacklog[[#This Row],[_Task]]="","",INDEX(tsk_ResourceNames,SprintBacklog[[#This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2" t="str">
        <f aca="false">IF(SprintBacklog[[#This Row],[_Task]]="","",INDEX(tsk_StoryPoints,SprintBacklog[[#This Row],[_Task]]))</f>
        <v/>
      </c>
      <c r="E35" s="24" t="str">
        <f aca="false">IF(SprintBacklog[[#This Row],[_Task]]="","",INDEX(tsk_ResourceNames,SprintBacklog[[#This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2" t="str">
        <f aca="false">IF(SprintBacklog[[#This Row],[_Task]]="","",INDEX(tsk_StoryPoints,SprintBacklog[[#This Row],[_Task]]))</f>
        <v/>
      </c>
      <c r="E36" s="24" t="str">
        <f aca="false">IF(SprintBacklog[[#This Row],[_Task]]="","",INDEX(tsk_ResourceNames,SprintBacklog[[#This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2" t="str">
        <f aca="false">IF(SprintBacklog[[#This Row],[_Task]]="","",INDEX(tsk_StoryPoints,SprintBacklog[[#This Row],[_Task]]))</f>
        <v/>
      </c>
      <c r="E37" s="24" t="str">
        <f aca="false">IF(SprintBacklog[[#This Row],[_Task]]="","",INDEX(tsk_ResourceNames,SprintBacklog[[#This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2" t="str">
        <f aca="false">IF(SprintBacklog[[#This Row],[_Task]]="","",INDEX(tsk_StoryPoints,SprintBacklog[[#This Row],[_Task]]))</f>
        <v/>
      </c>
      <c r="E38" s="24" t="str">
        <f aca="false">IF(SprintBacklog[[#This Row],[_Task]]="","",INDEX(tsk_ResourceNames,SprintBacklog[[#This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2" t="str">
        <f aca="false">IF(SprintBacklog[[#This Row],[_Task]]="","",INDEX(tsk_StoryPoints,SprintBacklog[[#This Row],[_Task]]))</f>
        <v/>
      </c>
      <c r="E39" s="24" t="str">
        <f aca="false">IF(SprintBacklog[[#This Row],[_Task]]="","",INDEX(tsk_ResourceNames,SprintBacklog[[#This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2" t="str">
        <f aca="false">IF(SprintBacklog[[#This Row],[_Task]]="","",INDEX(tsk_StoryPoints,SprintBacklog[[#This Row],[_Task]]))</f>
        <v/>
      </c>
      <c r="E40" s="24" t="str">
        <f aca="false">IF(SprintBacklog[[#This Row],[_Task]]="","",INDEX(tsk_ResourceNames,SprintBacklog[[#This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266</v>
      </c>
    </row>
    <row r="43" customFormat="false" ht="23.85" hidden="false" customHeight="false" outlineLevel="0" collapsed="false">
      <c r="C43" s="9" t="s">
        <v>267</v>
      </c>
      <c r="D43" s="9" t="s">
        <v>235</v>
      </c>
      <c r="E43" s="9" t="s">
        <v>268</v>
      </c>
      <c r="F43" s="40" t="s">
        <v>269</v>
      </c>
      <c r="G43" s="40" t="s">
        <v>270</v>
      </c>
      <c r="H43" s="40" t="s">
        <v>271</v>
      </c>
    </row>
    <row r="44" customFormat="false" ht="15" hidden="false" customHeight="false" outlineLevel="0" collapsed="false">
      <c r="C44" s="25" t="n">
        <f aca="false">IF(OR(CurrentSprint="",ROW()-ROW(SprintBurndown[[#Headers],[Day]])&gt;SprintLength),"",CurrentSprintStart+ROW()-ROW(SprintBurndown[[#Headers],[Day]])-1)</f>
        <v>1</v>
      </c>
      <c r="D44" s="73" t="n">
        <f aca="false">IF(OR(SprintBurndown[[#This Row],[Day]]="",SprintBurndown[[#This Row],[Day]]&gt;StatusDate),"",agl_CurCommitted-SUMIFS(tsk_LeafPoints,tsk_Sprint,CurrentSprint,tsk_DoneDate,"&lt;="&amp;SprintBurndown[[#This Row],[Day]]))</f>
        <v>0</v>
      </c>
      <c r="E44" s="73"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4" t="n">
        <f aca="false">IF(SprintBurndown[[#This Row],[Remaining]]="",NA(),SprintBurndown[[#This Row],[Remaining]])</f>
        <v>0</v>
      </c>
      <c r="H44" s="74"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73" t="str">
        <f aca="false">IF(OR(SprintBurndown[[#This Row],[Day]]="",SprintBurndown[[#This Row],[Day]]&gt;StatusDate),"",agl_CurCommitted-SUMIFS(tsk_LeafPoints,tsk_Sprint,CurrentSprint,tsk_DoneDate,"&lt;="&amp;SprintBurndown[[#This Row],[Day]]))</f>
        <v/>
      </c>
      <c r="E45" s="73"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4"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73" t="str">
        <f aca="false">IF(OR(SprintBurndown[[#This Row],[Day]]="",SprintBurndown[[#This Row],[Day]]&gt;StatusDate),"",agl_CurCommitted-SUMIFS(tsk_LeafPoints,tsk_Sprint,CurrentSprint,tsk_DoneDate,"&lt;="&amp;SprintBurndown[[#This Row],[Day]]))</f>
        <v/>
      </c>
      <c r="E46" s="73"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4"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73" t="str">
        <f aca="false">IF(OR(SprintBurndown[[#This Row],[Day]]="",SprintBurndown[[#This Row],[Day]]&gt;StatusDate),"",agl_CurCommitted-SUMIFS(tsk_LeafPoints,tsk_Sprint,CurrentSprint,tsk_DoneDate,"&lt;="&amp;SprintBurndown[[#This Row],[Day]]))</f>
        <v/>
      </c>
      <c r="E47" s="73"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4"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73" t="str">
        <f aca="false">IF(OR(SprintBurndown[[#This Row],[Day]]="",SprintBurndown[[#This Row],[Day]]&gt;StatusDate),"",agl_CurCommitted-SUMIFS(tsk_LeafPoints,tsk_Sprint,CurrentSprint,tsk_DoneDate,"&lt;="&amp;SprintBurndown[[#This Row],[Day]]))</f>
        <v/>
      </c>
      <c r="E48" s="73"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4"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73" t="str">
        <f aca="false">IF(OR(SprintBurndown[[#This Row],[Day]]="",SprintBurndown[[#This Row],[Day]]&gt;StatusDate),"",agl_CurCommitted-SUMIFS(tsk_LeafPoints,tsk_Sprint,CurrentSprint,tsk_DoneDate,"&lt;="&amp;SprintBurndown[[#This Row],[Day]]))</f>
        <v/>
      </c>
      <c r="E49" s="73"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4"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73" t="str">
        <f aca="false">IF(OR(SprintBurndown[[#This Row],[Day]]="",SprintBurndown[[#This Row],[Day]]&gt;StatusDate),"",agl_CurCommitted-SUMIFS(tsk_LeafPoints,tsk_Sprint,CurrentSprint,tsk_DoneDate,"&lt;="&amp;SprintBurndown[[#This Row],[Day]]))</f>
        <v/>
      </c>
      <c r="E50" s="73"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4"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73" t="str">
        <f aca="false">IF(OR(SprintBurndown[[#This Row],[Day]]="",SprintBurndown[[#This Row],[Day]]&gt;StatusDate),"",agl_CurCommitted-SUMIFS(tsk_LeafPoints,tsk_Sprint,CurrentSprint,tsk_DoneDate,"&lt;="&amp;SprintBurndown[[#This Row],[Day]]))</f>
        <v/>
      </c>
      <c r="E51" s="73"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4"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73" t="str">
        <f aca="false">IF(OR(SprintBurndown[[#This Row],[Day]]="",SprintBurndown[[#This Row],[Day]]&gt;StatusDate),"",agl_CurCommitted-SUMIFS(tsk_LeafPoints,tsk_Sprint,CurrentSprint,tsk_DoneDate,"&lt;="&amp;SprintBurndown[[#This Row],[Day]]))</f>
        <v/>
      </c>
      <c r="E52" s="73"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4"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73" t="str">
        <f aca="false">IF(OR(SprintBurndown[[#This Row],[Day]]="",SprintBurndown[[#This Row],[Day]]&gt;StatusDate),"",agl_CurCommitted-SUMIFS(tsk_LeafPoints,tsk_Sprint,CurrentSprint,tsk_DoneDate,"&lt;="&amp;SprintBurndown[[#This Row],[Day]]))</f>
        <v/>
      </c>
      <c r="E53" s="73"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4"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73" t="str">
        <f aca="false">IF(OR(SprintBurndown[[#This Row],[Day]]="",SprintBurndown[[#This Row],[Day]]&gt;StatusDate),"",agl_CurCommitted-SUMIFS(tsk_LeafPoints,tsk_Sprint,CurrentSprint,tsk_DoneDate,"&lt;="&amp;SprintBurndown[[#This Row],[Day]]))</f>
        <v/>
      </c>
      <c r="E54" s="73"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4"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73" t="str">
        <f aca="false">IF(OR(SprintBurndown[[#This Row],[Day]]="",SprintBurndown[[#This Row],[Day]]&gt;StatusDate),"",agl_CurCommitted-SUMIFS(tsk_LeafPoints,tsk_Sprint,CurrentSprint,tsk_DoneDate,"&lt;="&amp;SprintBurndown[[#This Row],[Day]]))</f>
        <v/>
      </c>
      <c r="E55" s="73"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4"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73" t="str">
        <f aca="false">IF(OR(SprintBurndown[[#This Row],[Day]]="",SprintBurndown[[#This Row],[Day]]&gt;StatusDate),"",agl_CurCommitted-SUMIFS(tsk_LeafPoints,tsk_Sprint,CurrentSprint,tsk_DoneDate,"&lt;="&amp;SprintBurndown[[#This Row],[Day]]))</f>
        <v/>
      </c>
      <c r="E56" s="73"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4"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73" t="str">
        <f aca="false">IF(OR(SprintBurndown[[#This Row],[Day]]="",SprintBurndown[[#This Row],[Day]]&gt;StatusDate),"",agl_CurCommitted-SUMIFS(tsk_LeafPoints,tsk_Sprint,CurrentSprint,tsk_DoneDate,"&lt;="&amp;SprintBurndown[[#This Row],[Day]]))</f>
        <v/>
      </c>
      <c r="E57" s="73"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4"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3" t="str">
        <f aca="false">IF(OR(SprintBurndown[[#This Row],[Day]]="",SprintBurndown[[#This Row],[Day]]&gt;StatusDate),"",agl_CurCommitted-SUMIFS(tsk_LeafPoints,tsk_Sprint,CurrentSprint,tsk_DoneDate,"&lt;="&amp;SprintBurndown[[#This Row],[Day]]))</f>
        <v/>
      </c>
      <c r="E58" s="73"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3" t="str">
        <f aca="false">IF(OR(SprintBurndown[[#This Row],[Day]]="",SprintBurndown[[#This Row],[Day]]&gt;StatusDate),"",agl_CurCommitted-SUMIFS(tsk_LeafPoints,tsk_Sprint,CurrentSprint,tsk_DoneDate,"&lt;="&amp;SprintBurndown[[#This Row],[Day]]))</f>
        <v/>
      </c>
      <c r="E59" s="73"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3" t="str">
        <f aca="false">IF(OR(SprintBurndown[[#This Row],[Day]]="",SprintBurndown[[#This Row],[Day]]&gt;StatusDate),"",agl_CurCommitted-SUMIFS(tsk_LeafPoints,tsk_Sprint,CurrentSprint,tsk_DoneDate,"&lt;="&amp;SprintBurndown[[#This Row],[Day]]))</f>
        <v/>
      </c>
      <c r="E60" s="73"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3" t="str">
        <f aca="false">IF(OR(SprintBurndown[[#This Row],[Day]]="",SprintBurndown[[#This Row],[Day]]&gt;StatusDate),"",agl_CurCommitted-SUMIFS(tsk_LeafPoints,tsk_Sprint,CurrentSprint,tsk_DoneDate,"&lt;="&amp;SprintBurndown[[#This Row],[Day]]))</f>
        <v/>
      </c>
      <c r="E61" s="73"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3" t="str">
        <f aca="false">IF(OR(SprintBurndown[[#This Row],[Day]]="",SprintBurndown[[#This Row],[Day]]&gt;StatusDate),"",agl_CurCommitted-SUMIFS(tsk_LeafPoints,tsk_Sprint,CurrentSprint,tsk_DoneDate,"&lt;="&amp;SprintBurndown[[#This Row],[Day]]))</f>
        <v/>
      </c>
      <c r="E62" s="73"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3" t="str">
        <f aca="false">IF(OR(SprintBurndown[[#This Row],[Day]]="",SprintBurndown[[#This Row],[Day]]&gt;StatusDate),"",agl_CurCommitted-SUMIFS(tsk_LeafPoints,tsk_Sprint,CurrentSprint,tsk_DoneDate,"&lt;="&amp;SprintBurndown[[#This Row],[Day]]))</f>
        <v/>
      </c>
      <c r="E63" s="73"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3" t="str">
        <f aca="false">IF(OR(SprintBurndown[[#This Row],[Day]]="",SprintBurndown[[#This Row],[Day]]&gt;StatusDate),"",agl_CurCommitted-SUMIFS(tsk_LeafPoints,tsk_Sprint,CurrentSprint,tsk_DoneDate,"&lt;="&amp;SprintBurndown[[#This Row],[Day]]))</f>
        <v/>
      </c>
      <c r="E64" s="73"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3" t="str">
        <f aca="false">IF(OR(SprintBurndown[[#This Row],[Day]]="",SprintBurndown[[#This Row],[Day]]&gt;StatusDate),"",agl_CurCommitted-SUMIFS(tsk_LeafPoints,tsk_Sprint,CurrentSprint,tsk_DoneDate,"&lt;="&amp;SprintBurndown[[#This Row],[Day]]))</f>
        <v/>
      </c>
      <c r="E65" s="73"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3" t="str">
        <f aca="false">IF(OR(SprintBurndown[[#This Row],[Day]]="",SprintBurndown[[#This Row],[Day]]&gt;StatusDate),"",agl_CurCommitted-SUMIFS(tsk_LeafPoints,tsk_Sprint,CurrentSprint,tsk_DoneDate,"&lt;="&amp;SprintBurndown[[#This Row],[Day]]))</f>
        <v/>
      </c>
      <c r="E66" s="73"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3" t="str">
        <f aca="false">IF(OR(SprintBurndown[[#This Row],[Day]]="",SprintBurndown[[#This Row],[Day]]&gt;StatusDate),"",agl_CurCommitted-SUMIFS(tsk_LeafPoints,tsk_Sprint,CurrentSprint,tsk_DoneDate,"&lt;="&amp;SprintBurndown[[#This Row],[Day]]))</f>
        <v/>
      </c>
      <c r="E67" s="73"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3" t="str">
        <f aca="false">IF(OR(SprintBurndown[[#This Row],[Day]]="",SprintBurndown[[#This Row],[Day]]&gt;StatusDate),"",agl_CurCommitted-SUMIFS(tsk_LeafPoints,tsk_Sprint,CurrentSprint,tsk_DoneDate,"&lt;="&amp;SprintBurndown[[#This Row],[Day]]))</f>
        <v/>
      </c>
      <c r="E68" s="73"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3" t="str">
        <f aca="false">IF(OR(SprintBurndown[[#This Row],[Day]]="",SprintBurndown[[#This Row],[Day]]&gt;StatusDate),"",agl_CurCommitted-SUMIFS(tsk_LeafPoints,tsk_Sprint,CurrentSprint,tsk_DoneDate,"&lt;="&amp;SprintBurndown[[#This Row],[Day]]))</f>
        <v/>
      </c>
      <c r="E69" s="73"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3" t="str">
        <f aca="false">IF(OR(SprintBurndown[[#This Row],[Day]]="",SprintBurndown[[#This Row],[Day]]&gt;StatusDate),"",agl_CurCommitted-SUMIFS(tsk_LeafPoints,tsk_Sprint,CurrentSprint,tsk_DoneDate,"&lt;="&amp;SprintBurndown[[#This Row],[Day]]))</f>
        <v/>
      </c>
      <c r="E70" s="73"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3" t="str">
        <f aca="false">IF(OR(SprintBurndown[[#This Row],[Day]]="",SprintBurndown[[#This Row],[Day]]&gt;StatusDate),"",agl_CurCommitted-SUMIFS(tsk_LeafPoints,tsk_Sprint,CurrentSprint,tsk_DoneDate,"&lt;="&amp;SprintBurndown[[#This Row],[Day]]))</f>
        <v/>
      </c>
      <c r="E71" s="73"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3" t="str">
        <f aca="false">IF(OR(SprintBurndown[[#This Row],[Day]]="",SprintBurndown[[#This Row],[Day]]&gt;StatusDate),"",agl_CurCommitted-SUMIFS(tsk_LeafPoints,tsk_Sprint,CurrentSprint,tsk_DoneDate,"&lt;="&amp;SprintBurndown[[#This Row],[Day]]))</f>
        <v/>
      </c>
      <c r="E72" s="73"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3" t="str">
        <f aca="false">IF(OR(SprintBurndown[[#This Row],[Day]]="",SprintBurndown[[#This Row],[Day]]&gt;StatusDate),"",agl_CurCommitted-SUMIFS(tsk_LeafPoints,tsk_Sprint,CurrentSprint,tsk_DoneDate,"&lt;="&amp;SprintBurndown[[#This Row],[Day]]))</f>
        <v/>
      </c>
      <c r="E73" s="73"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3" t="str">
        <f aca="false">IF(OR(SprintBurndown[[#This Row],[Day]]="",SprintBurndown[[#This Row],[Day]]&gt;StatusDate),"",agl_CurCommitted-SUMIFS(tsk_LeafPoints,tsk_Sprint,CurrentSprint,tsk_DoneDate,"&lt;="&amp;SprintBurndown[[#This Row],[Day]]))</f>
        <v/>
      </c>
      <c r="E74" s="73"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4">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272</v>
      </c>
    </row>
    <row r="2" customFormat="false" ht="15" hidden="false" customHeight="false" outlineLevel="0" collapsed="false">
      <c r="A2" s="8" t="s">
        <v>273</v>
      </c>
    </row>
    <row r="4" customFormat="false" ht="23.85" hidden="false" customHeight="false" outlineLevel="0" collapsed="false">
      <c r="B4" s="27" t="s">
        <v>274</v>
      </c>
      <c r="C4" s="27" t="s">
        <v>275</v>
      </c>
      <c r="D4" s="27" t="s">
        <v>276</v>
      </c>
      <c r="E4" s="27" t="s">
        <v>183</v>
      </c>
      <c r="F4" s="27" t="s">
        <v>277</v>
      </c>
      <c r="G4" s="27" t="s">
        <v>184</v>
      </c>
      <c r="H4" s="27" t="s">
        <v>97</v>
      </c>
      <c r="I4" s="27" t="s">
        <v>278</v>
      </c>
      <c r="J4" s="27" t="s">
        <v>279</v>
      </c>
      <c r="K4" s="9" t="s">
        <v>185</v>
      </c>
      <c r="L4" s="9" t="s">
        <v>186</v>
      </c>
      <c r="M4" s="9" t="s">
        <v>280</v>
      </c>
      <c r="N4" s="27" t="s">
        <v>281</v>
      </c>
      <c r="O4" s="9" t="s">
        <v>187</v>
      </c>
      <c r="P4" s="9" t="s">
        <v>282</v>
      </c>
      <c r="Q4" s="27" t="s">
        <v>182</v>
      </c>
      <c r="R4" s="27" t="s">
        <v>283</v>
      </c>
      <c r="S4" s="40" t="s">
        <v>284</v>
      </c>
      <c r="T4" s="40" t="s">
        <v>285</v>
      </c>
    </row>
    <row r="5" customFormat="false" ht="15" hidden="false" customHeight="false" outlineLevel="0" collapsed="false">
      <c r="B5" s="29" t="n">
        <v>1</v>
      </c>
      <c r="C5" s="30"/>
      <c r="D5" s="30"/>
      <c r="E5" s="30"/>
      <c r="F5" s="75"/>
      <c r="G5" s="75"/>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5"/>
      <c r="G6" s="75"/>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5"/>
      <c r="G7" s="75"/>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5"/>
      <c r="G8" s="75"/>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5"/>
      <c r="G9" s="75"/>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5"/>
      <c r="G10" s="75"/>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5"/>
      <c r="G11" s="75"/>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5"/>
      <c r="G12" s="75"/>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5"/>
      <c r="G13" s="75"/>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5"/>
      <c r="G14" s="75"/>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5"/>
      <c r="G15" s="75"/>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5"/>
      <c r="G16" s="75"/>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5"/>
      <c r="G17" s="75"/>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5"/>
      <c r="G18" s="75"/>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5"/>
      <c r="G19" s="75"/>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5"/>
      <c r="G20" s="75"/>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5"/>
      <c r="G21" s="75"/>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5"/>
      <c r="G22" s="75"/>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5"/>
      <c r="G23" s="75"/>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5"/>
      <c r="G24" s="75"/>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5"/>
      <c r="G25" s="75"/>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5"/>
      <c r="G26" s="75"/>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5"/>
      <c r="G27" s="75"/>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5"/>
      <c r="G28" s="75"/>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5"/>
      <c r="G29" s="75"/>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5"/>
      <c r="G30" s="75"/>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5"/>
      <c r="G31" s="75"/>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5"/>
      <c r="G32" s="75"/>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5"/>
      <c r="G33" s="75"/>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5"/>
      <c r="G34" s="75"/>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5"/>
      <c r="G35" s="75"/>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5"/>
      <c r="G36" s="75"/>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5"/>
      <c r="G37" s="75"/>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5"/>
      <c r="G38" s="75"/>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5"/>
      <c r="G39" s="75"/>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5"/>
      <c r="G40" s="75"/>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5"/>
      <c r="G41" s="75"/>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5"/>
      <c r="G42" s="75"/>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5"/>
      <c r="G43" s="75"/>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5"/>
      <c r="G44" s="75"/>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5"/>
      <c r="G45" s="75"/>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5"/>
      <c r="G46" s="75"/>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5"/>
      <c r="G47" s="75"/>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5"/>
      <c r="G48" s="75"/>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5"/>
      <c r="G49" s="75"/>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5"/>
      <c r="G50" s="75"/>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5"/>
      <c r="G51" s="75"/>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5"/>
      <c r="G52" s="75"/>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5"/>
      <c r="G53" s="75"/>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5"/>
      <c r="G54" s="75"/>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5"/>
      <c r="G55" s="75"/>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5"/>
      <c r="G56" s="75"/>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5"/>
      <c r="G57" s="75"/>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5"/>
      <c r="G58" s="75"/>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5"/>
      <c r="G59" s="75"/>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5"/>
      <c r="G60" s="75"/>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5"/>
      <c r="G61" s="75"/>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5"/>
      <c r="G62" s="75"/>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5"/>
      <c r="G63" s="75"/>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5"/>
      <c r="G64" s="75"/>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5"/>
      <c r="G65" s="75"/>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5"/>
      <c r="G66" s="75"/>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5"/>
      <c r="G67" s="75"/>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5"/>
      <c r="G68" s="75"/>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5"/>
      <c r="G69" s="75"/>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5"/>
      <c r="G70" s="75"/>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5"/>
      <c r="G71" s="75"/>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5"/>
      <c r="G72" s="75"/>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5"/>
      <c r="G73" s="75"/>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5"/>
      <c r="G74" s="75"/>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5"/>
      <c r="G75" s="75"/>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5"/>
      <c r="G76" s="75"/>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5"/>
      <c r="G77" s="75"/>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5"/>
      <c r="G78" s="75"/>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5"/>
      <c r="G79" s="75"/>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5"/>
      <c r="G80" s="75"/>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5"/>
      <c r="G81" s="75"/>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5"/>
      <c r="G82" s="75"/>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5"/>
      <c r="G83" s="75"/>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5"/>
      <c r="G84" s="75"/>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5"/>
      <c r="G85" s="75"/>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5"/>
      <c r="G86" s="75"/>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5"/>
      <c r="G87" s="75"/>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5"/>
      <c r="G88" s="75"/>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5"/>
      <c r="G89" s="75"/>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5"/>
      <c r="G90" s="75"/>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5"/>
      <c r="G91" s="75"/>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5"/>
      <c r="G92" s="75"/>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5"/>
      <c r="G93" s="75"/>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5"/>
      <c r="G94" s="75"/>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5"/>
      <c r="G95" s="75"/>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5"/>
      <c r="G96" s="75"/>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5"/>
      <c r="G97" s="75"/>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5"/>
      <c r="G98" s="75"/>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5"/>
      <c r="G99" s="75"/>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5"/>
      <c r="G100" s="75"/>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5"/>
      <c r="G101" s="75"/>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5"/>
      <c r="G102" s="75"/>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5"/>
      <c r="G103" s="75"/>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5"/>
      <c r="G104" s="75"/>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5">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286</v>
      </c>
    </row>
    <row r="2" customFormat="false" ht="15" hidden="false" customHeight="false" outlineLevel="0" collapsed="false">
      <c r="A2" s="8" t="s">
        <v>287</v>
      </c>
    </row>
    <row r="4" customFormat="false" ht="35.05" hidden="false" customHeight="false" outlineLevel="0" collapsed="false">
      <c r="B4" s="27" t="s">
        <v>274</v>
      </c>
      <c r="C4" s="27" t="s">
        <v>288</v>
      </c>
      <c r="D4" s="27" t="s">
        <v>289</v>
      </c>
      <c r="E4" s="27" t="s">
        <v>290</v>
      </c>
      <c r="F4" s="27" t="s">
        <v>291</v>
      </c>
      <c r="G4" s="27" t="s">
        <v>97</v>
      </c>
      <c r="H4" s="9" t="s">
        <v>292</v>
      </c>
      <c r="I4" s="27" t="s">
        <v>281</v>
      </c>
      <c r="J4" s="9" t="s">
        <v>187</v>
      </c>
      <c r="K4" s="27" t="s">
        <v>293</v>
      </c>
    </row>
    <row r="5" customFormat="false" ht="15" hidden="false" customHeight="false" outlineLevel="0" collapsed="false">
      <c r="B5" s="29" t="n">
        <v>1</v>
      </c>
      <c r="C5" s="75"/>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5"/>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5"/>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5"/>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5"/>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5"/>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5"/>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5"/>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5"/>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5"/>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5"/>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5"/>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5"/>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5"/>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5"/>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5"/>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5"/>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5"/>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5"/>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5"/>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5"/>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5"/>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5"/>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5"/>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5"/>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5"/>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5"/>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5"/>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5"/>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5"/>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5"/>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5"/>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5"/>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5"/>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5"/>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5"/>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5"/>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5"/>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5"/>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5"/>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5"/>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5"/>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5"/>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5"/>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5"/>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5"/>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5"/>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5"/>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5"/>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5"/>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5"/>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5"/>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5"/>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5"/>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5"/>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5"/>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5"/>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5"/>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5"/>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5"/>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5"/>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5"/>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5"/>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5"/>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5"/>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5"/>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5"/>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5"/>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5"/>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5"/>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5"/>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5"/>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5"/>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5"/>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5"/>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5"/>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5"/>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5"/>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5"/>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5"/>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5"/>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5"/>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5"/>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5"/>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5"/>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5"/>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5"/>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5"/>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5"/>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5"/>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5"/>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5"/>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5"/>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5"/>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5"/>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5"/>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5"/>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5"/>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5"/>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5"/>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6">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294</v>
      </c>
    </row>
    <row r="2" customFormat="false" ht="15" hidden="false" customHeight="false" outlineLevel="0" collapsed="false">
      <c r="A2" s="8" t="s">
        <v>295</v>
      </c>
    </row>
    <row r="4" customFormat="false" ht="46.25" hidden="false" customHeight="false" outlineLevel="0" collapsed="false">
      <c r="B4" s="27" t="s">
        <v>274</v>
      </c>
      <c r="C4" s="27" t="s">
        <v>277</v>
      </c>
      <c r="D4" s="27" t="s">
        <v>296</v>
      </c>
      <c r="E4" s="27" t="s">
        <v>276</v>
      </c>
      <c r="F4" s="27" t="s">
        <v>297</v>
      </c>
      <c r="G4" s="27" t="s">
        <v>298</v>
      </c>
      <c r="H4" s="27" t="s">
        <v>299</v>
      </c>
      <c r="I4" s="27" t="s">
        <v>97</v>
      </c>
      <c r="J4" s="27" t="s">
        <v>300</v>
      </c>
      <c r="K4" s="27" t="s">
        <v>291</v>
      </c>
      <c r="L4" s="9" t="s">
        <v>292</v>
      </c>
      <c r="M4" s="27" t="s">
        <v>281</v>
      </c>
      <c r="N4" s="9" t="s">
        <v>187</v>
      </c>
    </row>
    <row r="5" customFormat="false" ht="15" hidden="false" customHeight="false" outlineLevel="0" collapsed="false">
      <c r="B5" s="29" t="n">
        <v>1</v>
      </c>
      <c r="C5" s="75"/>
      <c r="D5" s="30"/>
      <c r="E5" s="30"/>
      <c r="F5" s="30"/>
      <c r="G5" s="76"/>
      <c r="H5" s="77"/>
      <c r="I5" s="29"/>
      <c r="J5" s="75"/>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5"/>
      <c r="D6" s="30"/>
      <c r="E6" s="30"/>
      <c r="F6" s="30"/>
      <c r="G6" s="76"/>
      <c r="H6" s="77"/>
      <c r="I6" s="29"/>
      <c r="J6" s="75"/>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5"/>
      <c r="D7" s="30"/>
      <c r="E7" s="30"/>
      <c r="F7" s="30"/>
      <c r="G7" s="76"/>
      <c r="H7" s="77"/>
      <c r="I7" s="29"/>
      <c r="J7" s="75"/>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5"/>
      <c r="D8" s="30"/>
      <c r="E8" s="30"/>
      <c r="F8" s="30"/>
      <c r="G8" s="76"/>
      <c r="H8" s="77"/>
      <c r="I8" s="29"/>
      <c r="J8" s="75"/>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5"/>
      <c r="D9" s="30"/>
      <c r="E9" s="30"/>
      <c r="F9" s="30"/>
      <c r="G9" s="76"/>
      <c r="H9" s="77"/>
      <c r="I9" s="29"/>
      <c r="J9" s="75"/>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5"/>
      <c r="D10" s="30"/>
      <c r="E10" s="30"/>
      <c r="F10" s="30"/>
      <c r="G10" s="76"/>
      <c r="H10" s="77"/>
      <c r="I10" s="29"/>
      <c r="J10" s="75"/>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5"/>
      <c r="D11" s="30"/>
      <c r="E11" s="30"/>
      <c r="F11" s="30"/>
      <c r="G11" s="76"/>
      <c r="H11" s="77"/>
      <c r="I11" s="29"/>
      <c r="J11" s="75"/>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5"/>
      <c r="D12" s="30"/>
      <c r="E12" s="30"/>
      <c r="F12" s="30"/>
      <c r="G12" s="76"/>
      <c r="H12" s="77"/>
      <c r="I12" s="29"/>
      <c r="J12" s="75"/>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5"/>
      <c r="D13" s="30"/>
      <c r="E13" s="30"/>
      <c r="F13" s="30"/>
      <c r="G13" s="76"/>
      <c r="H13" s="77"/>
      <c r="I13" s="29"/>
      <c r="J13" s="75"/>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5"/>
      <c r="D14" s="30"/>
      <c r="E14" s="30"/>
      <c r="F14" s="30"/>
      <c r="G14" s="76"/>
      <c r="H14" s="77"/>
      <c r="I14" s="29"/>
      <c r="J14" s="75"/>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5"/>
      <c r="D15" s="30"/>
      <c r="E15" s="30"/>
      <c r="F15" s="30"/>
      <c r="G15" s="76"/>
      <c r="H15" s="77"/>
      <c r="I15" s="29"/>
      <c r="J15" s="75"/>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5"/>
      <c r="D16" s="30"/>
      <c r="E16" s="30"/>
      <c r="F16" s="30"/>
      <c r="G16" s="76"/>
      <c r="H16" s="77"/>
      <c r="I16" s="29"/>
      <c r="J16" s="75"/>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5"/>
      <c r="D17" s="30"/>
      <c r="E17" s="30"/>
      <c r="F17" s="30"/>
      <c r="G17" s="76"/>
      <c r="H17" s="77"/>
      <c r="I17" s="29"/>
      <c r="J17" s="75"/>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5"/>
      <c r="D18" s="30"/>
      <c r="E18" s="30"/>
      <c r="F18" s="30"/>
      <c r="G18" s="76"/>
      <c r="H18" s="77"/>
      <c r="I18" s="29"/>
      <c r="J18" s="75"/>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5"/>
      <c r="D19" s="30"/>
      <c r="E19" s="30"/>
      <c r="F19" s="30"/>
      <c r="G19" s="76"/>
      <c r="H19" s="77"/>
      <c r="I19" s="29"/>
      <c r="J19" s="75"/>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5"/>
      <c r="D20" s="30"/>
      <c r="E20" s="30"/>
      <c r="F20" s="30"/>
      <c r="G20" s="76"/>
      <c r="H20" s="77"/>
      <c r="I20" s="29"/>
      <c r="J20" s="75"/>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5"/>
      <c r="D21" s="30"/>
      <c r="E21" s="30"/>
      <c r="F21" s="30"/>
      <c r="G21" s="76"/>
      <c r="H21" s="77"/>
      <c r="I21" s="29"/>
      <c r="J21" s="75"/>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5"/>
      <c r="D22" s="30"/>
      <c r="E22" s="30"/>
      <c r="F22" s="30"/>
      <c r="G22" s="76"/>
      <c r="H22" s="77"/>
      <c r="I22" s="29"/>
      <c r="J22" s="75"/>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5"/>
      <c r="D23" s="30"/>
      <c r="E23" s="30"/>
      <c r="F23" s="30"/>
      <c r="G23" s="76"/>
      <c r="H23" s="77"/>
      <c r="I23" s="29"/>
      <c r="J23" s="75"/>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5"/>
      <c r="D24" s="30"/>
      <c r="E24" s="30"/>
      <c r="F24" s="30"/>
      <c r="G24" s="76"/>
      <c r="H24" s="77"/>
      <c r="I24" s="29"/>
      <c r="J24" s="75"/>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5"/>
      <c r="D25" s="30"/>
      <c r="E25" s="30"/>
      <c r="F25" s="30"/>
      <c r="G25" s="76"/>
      <c r="H25" s="77"/>
      <c r="I25" s="29"/>
      <c r="J25" s="75"/>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5"/>
      <c r="D26" s="30"/>
      <c r="E26" s="30"/>
      <c r="F26" s="30"/>
      <c r="G26" s="76"/>
      <c r="H26" s="77"/>
      <c r="I26" s="29"/>
      <c r="J26" s="75"/>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5"/>
      <c r="D27" s="30"/>
      <c r="E27" s="30"/>
      <c r="F27" s="30"/>
      <c r="G27" s="76"/>
      <c r="H27" s="77"/>
      <c r="I27" s="29"/>
      <c r="J27" s="75"/>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5"/>
      <c r="D28" s="30"/>
      <c r="E28" s="30"/>
      <c r="F28" s="30"/>
      <c r="G28" s="76"/>
      <c r="H28" s="77"/>
      <c r="I28" s="29"/>
      <c r="J28" s="75"/>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5"/>
      <c r="D29" s="30"/>
      <c r="E29" s="30"/>
      <c r="F29" s="30"/>
      <c r="G29" s="76"/>
      <c r="H29" s="77"/>
      <c r="I29" s="29"/>
      <c r="J29" s="75"/>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5"/>
      <c r="D30" s="30"/>
      <c r="E30" s="30"/>
      <c r="F30" s="30"/>
      <c r="G30" s="76"/>
      <c r="H30" s="77"/>
      <c r="I30" s="29"/>
      <c r="J30" s="75"/>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5"/>
      <c r="D31" s="30"/>
      <c r="E31" s="30"/>
      <c r="F31" s="30"/>
      <c r="G31" s="76"/>
      <c r="H31" s="77"/>
      <c r="I31" s="29"/>
      <c r="J31" s="75"/>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5"/>
      <c r="D32" s="30"/>
      <c r="E32" s="30"/>
      <c r="F32" s="30"/>
      <c r="G32" s="76"/>
      <c r="H32" s="77"/>
      <c r="I32" s="29"/>
      <c r="J32" s="75"/>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5"/>
      <c r="D33" s="30"/>
      <c r="E33" s="30"/>
      <c r="F33" s="30"/>
      <c r="G33" s="76"/>
      <c r="H33" s="77"/>
      <c r="I33" s="29"/>
      <c r="J33" s="75"/>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5"/>
      <c r="D34" s="30"/>
      <c r="E34" s="30"/>
      <c r="F34" s="30"/>
      <c r="G34" s="76"/>
      <c r="H34" s="77"/>
      <c r="I34" s="29"/>
      <c r="J34" s="75"/>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5"/>
      <c r="D35" s="30"/>
      <c r="E35" s="30"/>
      <c r="F35" s="30"/>
      <c r="G35" s="76"/>
      <c r="H35" s="77"/>
      <c r="I35" s="29"/>
      <c r="J35" s="75"/>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5"/>
      <c r="D36" s="30"/>
      <c r="E36" s="30"/>
      <c r="F36" s="30"/>
      <c r="G36" s="76"/>
      <c r="H36" s="77"/>
      <c r="I36" s="29"/>
      <c r="J36" s="75"/>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5"/>
      <c r="D37" s="30"/>
      <c r="E37" s="30"/>
      <c r="F37" s="30"/>
      <c r="G37" s="76"/>
      <c r="H37" s="77"/>
      <c r="I37" s="29"/>
      <c r="J37" s="75"/>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5"/>
      <c r="D38" s="30"/>
      <c r="E38" s="30"/>
      <c r="F38" s="30"/>
      <c r="G38" s="76"/>
      <c r="H38" s="77"/>
      <c r="I38" s="29"/>
      <c r="J38" s="75"/>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5"/>
      <c r="D39" s="30"/>
      <c r="E39" s="30"/>
      <c r="F39" s="30"/>
      <c r="G39" s="76"/>
      <c r="H39" s="77"/>
      <c r="I39" s="29"/>
      <c r="J39" s="75"/>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5"/>
      <c r="D40" s="30"/>
      <c r="E40" s="30"/>
      <c r="F40" s="30"/>
      <c r="G40" s="76"/>
      <c r="H40" s="77"/>
      <c r="I40" s="29"/>
      <c r="J40" s="75"/>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5"/>
      <c r="D41" s="30"/>
      <c r="E41" s="30"/>
      <c r="F41" s="30"/>
      <c r="G41" s="76"/>
      <c r="H41" s="77"/>
      <c r="I41" s="29"/>
      <c r="J41" s="75"/>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5"/>
      <c r="D42" s="30"/>
      <c r="E42" s="30"/>
      <c r="F42" s="30"/>
      <c r="G42" s="76"/>
      <c r="H42" s="77"/>
      <c r="I42" s="29"/>
      <c r="J42" s="75"/>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5"/>
      <c r="D43" s="30"/>
      <c r="E43" s="30"/>
      <c r="F43" s="30"/>
      <c r="G43" s="76"/>
      <c r="H43" s="77"/>
      <c r="I43" s="29"/>
      <c r="J43" s="75"/>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5"/>
      <c r="D44" s="30"/>
      <c r="E44" s="30"/>
      <c r="F44" s="30"/>
      <c r="G44" s="76"/>
      <c r="H44" s="77"/>
      <c r="I44" s="29"/>
      <c r="J44" s="75"/>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5"/>
      <c r="D45" s="30"/>
      <c r="E45" s="30"/>
      <c r="F45" s="30"/>
      <c r="G45" s="76"/>
      <c r="H45" s="77"/>
      <c r="I45" s="29"/>
      <c r="J45" s="75"/>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5"/>
      <c r="D46" s="30"/>
      <c r="E46" s="30"/>
      <c r="F46" s="30"/>
      <c r="G46" s="76"/>
      <c r="H46" s="77"/>
      <c r="I46" s="29"/>
      <c r="J46" s="75"/>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5"/>
      <c r="D47" s="30"/>
      <c r="E47" s="30"/>
      <c r="F47" s="30"/>
      <c r="G47" s="76"/>
      <c r="H47" s="77"/>
      <c r="I47" s="29"/>
      <c r="J47" s="75"/>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5"/>
      <c r="D48" s="30"/>
      <c r="E48" s="30"/>
      <c r="F48" s="30"/>
      <c r="G48" s="76"/>
      <c r="H48" s="77"/>
      <c r="I48" s="29"/>
      <c r="J48" s="75"/>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5"/>
      <c r="D49" s="30"/>
      <c r="E49" s="30"/>
      <c r="F49" s="30"/>
      <c r="G49" s="76"/>
      <c r="H49" s="77"/>
      <c r="I49" s="29"/>
      <c r="J49" s="75"/>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5"/>
      <c r="D50" s="30"/>
      <c r="E50" s="30"/>
      <c r="F50" s="30"/>
      <c r="G50" s="76"/>
      <c r="H50" s="77"/>
      <c r="I50" s="29"/>
      <c r="J50" s="75"/>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5"/>
      <c r="D51" s="30"/>
      <c r="E51" s="30"/>
      <c r="F51" s="30"/>
      <c r="G51" s="76"/>
      <c r="H51" s="77"/>
      <c r="I51" s="29"/>
      <c r="J51" s="75"/>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5"/>
      <c r="D52" s="30"/>
      <c r="E52" s="30"/>
      <c r="F52" s="30"/>
      <c r="G52" s="76"/>
      <c r="H52" s="77"/>
      <c r="I52" s="29"/>
      <c r="J52" s="75"/>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5"/>
      <c r="D53" s="30"/>
      <c r="E53" s="30"/>
      <c r="F53" s="30"/>
      <c r="G53" s="76"/>
      <c r="H53" s="77"/>
      <c r="I53" s="29"/>
      <c r="J53" s="75"/>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5"/>
      <c r="D54" s="30"/>
      <c r="E54" s="30"/>
      <c r="F54" s="30"/>
      <c r="G54" s="76"/>
      <c r="H54" s="77"/>
      <c r="I54" s="29"/>
      <c r="J54" s="75"/>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5"/>
      <c r="D55" s="30"/>
      <c r="E55" s="30"/>
      <c r="F55" s="30"/>
      <c r="G55" s="76"/>
      <c r="H55" s="77"/>
      <c r="I55" s="29"/>
      <c r="J55" s="75"/>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5"/>
      <c r="D56" s="30"/>
      <c r="E56" s="30"/>
      <c r="F56" s="30"/>
      <c r="G56" s="76"/>
      <c r="H56" s="77"/>
      <c r="I56" s="29"/>
      <c r="J56" s="75"/>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5"/>
      <c r="D57" s="30"/>
      <c r="E57" s="30"/>
      <c r="F57" s="30"/>
      <c r="G57" s="76"/>
      <c r="H57" s="77"/>
      <c r="I57" s="29"/>
      <c r="J57" s="75"/>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5"/>
      <c r="D58" s="30"/>
      <c r="E58" s="30"/>
      <c r="F58" s="30"/>
      <c r="G58" s="76"/>
      <c r="H58" s="77"/>
      <c r="I58" s="29"/>
      <c r="J58" s="75"/>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5"/>
      <c r="D59" s="30"/>
      <c r="E59" s="30"/>
      <c r="F59" s="30"/>
      <c r="G59" s="76"/>
      <c r="H59" s="77"/>
      <c r="I59" s="29"/>
      <c r="J59" s="75"/>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5"/>
      <c r="D60" s="30"/>
      <c r="E60" s="30"/>
      <c r="F60" s="30"/>
      <c r="G60" s="76"/>
      <c r="H60" s="77"/>
      <c r="I60" s="29"/>
      <c r="J60" s="75"/>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5"/>
      <c r="D61" s="30"/>
      <c r="E61" s="30"/>
      <c r="F61" s="30"/>
      <c r="G61" s="76"/>
      <c r="H61" s="77"/>
      <c r="I61" s="29"/>
      <c r="J61" s="75"/>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5"/>
      <c r="D62" s="30"/>
      <c r="E62" s="30"/>
      <c r="F62" s="30"/>
      <c r="G62" s="76"/>
      <c r="H62" s="77"/>
      <c r="I62" s="29"/>
      <c r="J62" s="75"/>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5"/>
      <c r="D63" s="30"/>
      <c r="E63" s="30"/>
      <c r="F63" s="30"/>
      <c r="G63" s="76"/>
      <c r="H63" s="77"/>
      <c r="I63" s="29"/>
      <c r="J63" s="75"/>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5"/>
      <c r="D64" s="30"/>
      <c r="E64" s="30"/>
      <c r="F64" s="30"/>
      <c r="G64" s="76"/>
      <c r="H64" s="77"/>
      <c r="I64" s="29"/>
      <c r="J64" s="75"/>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5"/>
      <c r="D65" s="30"/>
      <c r="E65" s="30"/>
      <c r="F65" s="30"/>
      <c r="G65" s="76"/>
      <c r="H65" s="77"/>
      <c r="I65" s="29"/>
      <c r="J65" s="75"/>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5"/>
      <c r="D66" s="30"/>
      <c r="E66" s="30"/>
      <c r="F66" s="30"/>
      <c r="G66" s="76"/>
      <c r="H66" s="77"/>
      <c r="I66" s="29"/>
      <c r="J66" s="75"/>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5"/>
      <c r="D67" s="30"/>
      <c r="E67" s="30"/>
      <c r="F67" s="30"/>
      <c r="G67" s="76"/>
      <c r="H67" s="77"/>
      <c r="I67" s="29"/>
      <c r="J67" s="75"/>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5"/>
      <c r="D68" s="30"/>
      <c r="E68" s="30"/>
      <c r="F68" s="30"/>
      <c r="G68" s="76"/>
      <c r="H68" s="77"/>
      <c r="I68" s="29"/>
      <c r="J68" s="75"/>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5"/>
      <c r="D69" s="30"/>
      <c r="E69" s="30"/>
      <c r="F69" s="30"/>
      <c r="G69" s="76"/>
      <c r="H69" s="77"/>
      <c r="I69" s="29"/>
      <c r="J69" s="75"/>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5"/>
      <c r="D70" s="30"/>
      <c r="E70" s="30"/>
      <c r="F70" s="30"/>
      <c r="G70" s="76"/>
      <c r="H70" s="77"/>
      <c r="I70" s="29"/>
      <c r="J70" s="75"/>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5"/>
      <c r="D71" s="30"/>
      <c r="E71" s="30"/>
      <c r="F71" s="30"/>
      <c r="G71" s="76"/>
      <c r="H71" s="77"/>
      <c r="I71" s="29"/>
      <c r="J71" s="75"/>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5"/>
      <c r="D72" s="30"/>
      <c r="E72" s="30"/>
      <c r="F72" s="30"/>
      <c r="G72" s="76"/>
      <c r="H72" s="77"/>
      <c r="I72" s="29"/>
      <c r="J72" s="75"/>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5"/>
      <c r="D73" s="30"/>
      <c r="E73" s="30"/>
      <c r="F73" s="30"/>
      <c r="G73" s="76"/>
      <c r="H73" s="77"/>
      <c r="I73" s="29"/>
      <c r="J73" s="75"/>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5"/>
      <c r="D74" s="30"/>
      <c r="E74" s="30"/>
      <c r="F74" s="30"/>
      <c r="G74" s="76"/>
      <c r="H74" s="77"/>
      <c r="I74" s="29"/>
      <c r="J74" s="75"/>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5"/>
      <c r="D75" s="30"/>
      <c r="E75" s="30"/>
      <c r="F75" s="30"/>
      <c r="G75" s="76"/>
      <c r="H75" s="77"/>
      <c r="I75" s="29"/>
      <c r="J75" s="75"/>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5"/>
      <c r="D76" s="30"/>
      <c r="E76" s="30"/>
      <c r="F76" s="30"/>
      <c r="G76" s="76"/>
      <c r="H76" s="77"/>
      <c r="I76" s="29"/>
      <c r="J76" s="75"/>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5"/>
      <c r="D77" s="30"/>
      <c r="E77" s="30"/>
      <c r="F77" s="30"/>
      <c r="G77" s="76"/>
      <c r="H77" s="77"/>
      <c r="I77" s="29"/>
      <c r="J77" s="75"/>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5"/>
      <c r="D78" s="30"/>
      <c r="E78" s="30"/>
      <c r="F78" s="30"/>
      <c r="G78" s="76"/>
      <c r="H78" s="77"/>
      <c r="I78" s="29"/>
      <c r="J78" s="75"/>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5"/>
      <c r="D79" s="30"/>
      <c r="E79" s="30"/>
      <c r="F79" s="30"/>
      <c r="G79" s="76"/>
      <c r="H79" s="77"/>
      <c r="I79" s="29"/>
      <c r="J79" s="75"/>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5"/>
      <c r="D80" s="30"/>
      <c r="E80" s="30"/>
      <c r="F80" s="30"/>
      <c r="G80" s="76"/>
      <c r="H80" s="77"/>
      <c r="I80" s="29"/>
      <c r="J80" s="75"/>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5"/>
      <c r="D81" s="30"/>
      <c r="E81" s="30"/>
      <c r="F81" s="30"/>
      <c r="G81" s="76"/>
      <c r="H81" s="77"/>
      <c r="I81" s="29"/>
      <c r="J81" s="75"/>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5"/>
      <c r="D82" s="30"/>
      <c r="E82" s="30"/>
      <c r="F82" s="30"/>
      <c r="G82" s="76"/>
      <c r="H82" s="77"/>
      <c r="I82" s="29"/>
      <c r="J82" s="75"/>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5"/>
      <c r="D83" s="30"/>
      <c r="E83" s="30"/>
      <c r="F83" s="30"/>
      <c r="G83" s="76"/>
      <c r="H83" s="77"/>
      <c r="I83" s="29"/>
      <c r="J83" s="75"/>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5"/>
      <c r="D84" s="30"/>
      <c r="E84" s="30"/>
      <c r="F84" s="30"/>
      <c r="G84" s="76"/>
      <c r="H84" s="77"/>
      <c r="I84" s="29"/>
      <c r="J84" s="75"/>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5"/>
      <c r="D85" s="30"/>
      <c r="E85" s="30"/>
      <c r="F85" s="30"/>
      <c r="G85" s="76"/>
      <c r="H85" s="77"/>
      <c r="I85" s="29"/>
      <c r="J85" s="75"/>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5"/>
      <c r="D86" s="30"/>
      <c r="E86" s="30"/>
      <c r="F86" s="30"/>
      <c r="G86" s="76"/>
      <c r="H86" s="77"/>
      <c r="I86" s="29"/>
      <c r="J86" s="75"/>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5"/>
      <c r="D87" s="30"/>
      <c r="E87" s="30"/>
      <c r="F87" s="30"/>
      <c r="G87" s="76"/>
      <c r="H87" s="77"/>
      <c r="I87" s="29"/>
      <c r="J87" s="75"/>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5"/>
      <c r="D88" s="30"/>
      <c r="E88" s="30"/>
      <c r="F88" s="30"/>
      <c r="G88" s="76"/>
      <c r="H88" s="77"/>
      <c r="I88" s="29"/>
      <c r="J88" s="75"/>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5"/>
      <c r="D89" s="30"/>
      <c r="E89" s="30"/>
      <c r="F89" s="30"/>
      <c r="G89" s="76"/>
      <c r="H89" s="77"/>
      <c r="I89" s="29"/>
      <c r="J89" s="75"/>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5"/>
      <c r="D90" s="30"/>
      <c r="E90" s="30"/>
      <c r="F90" s="30"/>
      <c r="G90" s="76"/>
      <c r="H90" s="77"/>
      <c r="I90" s="29"/>
      <c r="J90" s="75"/>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5"/>
      <c r="D91" s="30"/>
      <c r="E91" s="30"/>
      <c r="F91" s="30"/>
      <c r="G91" s="76"/>
      <c r="H91" s="77"/>
      <c r="I91" s="29"/>
      <c r="J91" s="75"/>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5"/>
      <c r="D92" s="30"/>
      <c r="E92" s="30"/>
      <c r="F92" s="30"/>
      <c r="G92" s="76"/>
      <c r="H92" s="77"/>
      <c r="I92" s="29"/>
      <c r="J92" s="75"/>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5"/>
      <c r="D93" s="30"/>
      <c r="E93" s="30"/>
      <c r="F93" s="30"/>
      <c r="G93" s="76"/>
      <c r="H93" s="77"/>
      <c r="I93" s="29"/>
      <c r="J93" s="75"/>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5"/>
      <c r="D94" s="30"/>
      <c r="E94" s="30"/>
      <c r="F94" s="30"/>
      <c r="G94" s="76"/>
      <c r="H94" s="77"/>
      <c r="I94" s="29"/>
      <c r="J94" s="75"/>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5"/>
      <c r="D95" s="30"/>
      <c r="E95" s="30"/>
      <c r="F95" s="30"/>
      <c r="G95" s="76"/>
      <c r="H95" s="77"/>
      <c r="I95" s="29"/>
      <c r="J95" s="75"/>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5"/>
      <c r="D96" s="30"/>
      <c r="E96" s="30"/>
      <c r="F96" s="30"/>
      <c r="G96" s="76"/>
      <c r="H96" s="77"/>
      <c r="I96" s="29"/>
      <c r="J96" s="75"/>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5"/>
      <c r="D97" s="30"/>
      <c r="E97" s="30"/>
      <c r="F97" s="30"/>
      <c r="G97" s="76"/>
      <c r="H97" s="77"/>
      <c r="I97" s="29"/>
      <c r="J97" s="75"/>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5"/>
      <c r="D98" s="30"/>
      <c r="E98" s="30"/>
      <c r="F98" s="30"/>
      <c r="G98" s="76"/>
      <c r="H98" s="77"/>
      <c r="I98" s="29"/>
      <c r="J98" s="75"/>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5"/>
      <c r="D99" s="30"/>
      <c r="E99" s="30"/>
      <c r="F99" s="30"/>
      <c r="G99" s="76"/>
      <c r="H99" s="77"/>
      <c r="I99" s="29"/>
      <c r="J99" s="75"/>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5"/>
      <c r="D100" s="30"/>
      <c r="E100" s="30"/>
      <c r="F100" s="30"/>
      <c r="G100" s="76"/>
      <c r="H100" s="77"/>
      <c r="I100" s="29"/>
      <c r="J100" s="75"/>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5"/>
      <c r="D101" s="30"/>
      <c r="E101" s="30"/>
      <c r="F101" s="30"/>
      <c r="G101" s="76"/>
      <c r="H101" s="77"/>
      <c r="I101" s="29"/>
      <c r="J101" s="75"/>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5"/>
      <c r="D102" s="30"/>
      <c r="E102" s="30"/>
      <c r="F102" s="30"/>
      <c r="G102" s="76"/>
      <c r="H102" s="77"/>
      <c r="I102" s="29"/>
      <c r="J102" s="75"/>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5"/>
      <c r="D103" s="30"/>
      <c r="E103" s="30"/>
      <c r="F103" s="30"/>
      <c r="G103" s="76"/>
      <c r="H103" s="77"/>
      <c r="I103" s="29"/>
      <c r="J103" s="75"/>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5"/>
      <c r="D104" s="30"/>
      <c r="E104" s="30"/>
      <c r="F104" s="30"/>
      <c r="G104" s="76"/>
      <c r="H104" s="77"/>
      <c r="I104" s="29"/>
      <c r="J104" s="75"/>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7">
      <formula>I5="Rejected"</formula>
    </cfRule>
    <cfRule type="expression" priority="5" aboveAverage="0" equalAverage="0" bottom="0" percent="0" rank="0" text="" dxfId="26">
      <formula>I5="Submitted"</formula>
    </cfRule>
    <cfRule type="expression" priority="6" aboveAverage="0" equalAverage="0" bottom="0" percent="0" rank="0" text="" dxfId="26">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301</v>
      </c>
    </row>
    <row r="2" customFormat="false" ht="15" hidden="false" customHeight="false" outlineLevel="0" collapsed="false">
      <c r="A2" s="8" t="s">
        <v>302</v>
      </c>
    </row>
    <row r="4" customFormat="false" ht="23.85" hidden="false" customHeight="false" outlineLevel="0" collapsed="false">
      <c r="B4" s="9" t="s">
        <v>303</v>
      </c>
      <c r="C4" s="9" t="s">
        <v>210</v>
      </c>
      <c r="D4" s="9" t="s">
        <v>209</v>
      </c>
      <c r="E4" s="9" t="s">
        <v>211</v>
      </c>
      <c r="F4" s="9" t="s">
        <v>304</v>
      </c>
      <c r="G4" s="9" t="s">
        <v>305</v>
      </c>
      <c r="H4" s="9" t="s">
        <v>306</v>
      </c>
      <c r="I4" s="9" t="s">
        <v>214</v>
      </c>
      <c r="J4" s="9" t="s">
        <v>215</v>
      </c>
      <c r="K4" s="9" t="s">
        <v>216</v>
      </c>
      <c r="L4" s="9" t="s">
        <v>217</v>
      </c>
      <c r="M4" s="9" t="s">
        <v>218</v>
      </c>
      <c r="N4" s="9" t="s">
        <v>307</v>
      </c>
      <c r="O4" s="9" t="s">
        <v>308</v>
      </c>
      <c r="P4" s="9" t="s">
        <v>309</v>
      </c>
      <c r="Q4" s="9" t="s">
        <v>310</v>
      </c>
      <c r="R4" s="9" t="s">
        <v>311</v>
      </c>
      <c r="S4" s="9" t="s">
        <v>312</v>
      </c>
      <c r="T4" s="9" t="s">
        <v>133</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54" t="n">
        <f aca="false">agl_Done</f>
        <v>0</v>
      </c>
      <c r="P5" s="54" t="n">
        <f aca="false">TotalPoints</f>
        <v>0</v>
      </c>
      <c r="Q5" s="52" t="n">
        <f aca="false">COUNTIFS(raid_Type,"Risk",raid_Status,"&lt;&gt;Closed")</f>
        <v>0</v>
      </c>
      <c r="R5" s="52" t="n">
        <f aca="false">COUNTIFS(raid_Type,"Issue",raid_Status,"&lt;&gt;Closed")</f>
        <v>0</v>
      </c>
      <c r="S5" s="52" t="n">
        <f aca="false">COUNTIF(chg_Status,"Submitted")+COUNTIF(chg_Status,"Under Review")</f>
        <v>0</v>
      </c>
      <c r="T5" s="78" t="str">
        <f aca="false">ProjectRAG</f>
        <v>Green</v>
      </c>
    </row>
    <row r="7" customFormat="false" ht="15" hidden="false" customHeight="false" outlineLevel="0" collapsed="false">
      <c r="B7" s="36" t="s">
        <v>313</v>
      </c>
    </row>
    <row r="8" customFormat="false" ht="23.85" hidden="false" customHeight="false" outlineLevel="0" collapsed="false">
      <c r="B8" s="27" t="s">
        <v>303</v>
      </c>
      <c r="C8" s="27" t="s">
        <v>210</v>
      </c>
      <c r="D8" s="27" t="s">
        <v>209</v>
      </c>
      <c r="E8" s="27" t="s">
        <v>211</v>
      </c>
      <c r="F8" s="27" t="s">
        <v>304</v>
      </c>
      <c r="G8" s="27" t="s">
        <v>305</v>
      </c>
      <c r="H8" s="27" t="s">
        <v>306</v>
      </c>
      <c r="I8" s="27" t="s">
        <v>214</v>
      </c>
      <c r="J8" s="27" t="s">
        <v>215</v>
      </c>
      <c r="K8" s="27" t="s">
        <v>216</v>
      </c>
      <c r="L8" s="27" t="s">
        <v>217</v>
      </c>
      <c r="M8" s="27" t="s">
        <v>218</v>
      </c>
      <c r="N8" s="27" t="s">
        <v>307</v>
      </c>
      <c r="O8" s="27" t="s">
        <v>308</v>
      </c>
      <c r="P8" s="27" t="s">
        <v>309</v>
      </c>
      <c r="Q8" s="27" t="s">
        <v>310</v>
      </c>
      <c r="R8" s="27" t="s">
        <v>311</v>
      </c>
      <c r="S8" s="27" t="s">
        <v>312</v>
      </c>
      <c r="T8" s="27" t="s">
        <v>133</v>
      </c>
    </row>
    <row r="9" customFormat="false" ht="15" hidden="false" customHeight="false" outlineLevel="0" collapsed="false">
      <c r="B9" s="79"/>
      <c r="C9" s="79"/>
      <c r="D9" s="79"/>
      <c r="E9" s="76"/>
      <c r="F9" s="80"/>
      <c r="G9" s="80"/>
      <c r="H9" s="81"/>
      <c r="I9" s="81"/>
      <c r="J9" s="81"/>
      <c r="K9" s="81"/>
      <c r="L9" s="82"/>
      <c r="M9" s="82"/>
      <c r="N9" s="81"/>
      <c r="O9" s="83"/>
      <c r="P9" s="83"/>
      <c r="Q9" s="84"/>
      <c r="R9" s="84"/>
      <c r="S9" s="84"/>
      <c r="T9" s="85"/>
    </row>
    <row r="10" customFormat="false" ht="15" hidden="false" customHeight="false" outlineLevel="0" collapsed="false">
      <c r="B10" s="79"/>
      <c r="C10" s="79"/>
      <c r="D10" s="79"/>
      <c r="E10" s="76"/>
      <c r="F10" s="80"/>
      <c r="G10" s="80"/>
      <c r="H10" s="81"/>
      <c r="I10" s="81"/>
      <c r="J10" s="81"/>
      <c r="K10" s="81"/>
      <c r="L10" s="82"/>
      <c r="M10" s="82"/>
      <c r="N10" s="81"/>
      <c r="O10" s="83"/>
      <c r="P10" s="83"/>
      <c r="Q10" s="84"/>
      <c r="R10" s="84"/>
      <c r="S10" s="84"/>
      <c r="T10" s="85"/>
    </row>
    <row r="11" customFormat="false" ht="15" hidden="false" customHeight="false" outlineLevel="0" collapsed="false">
      <c r="B11" s="79"/>
      <c r="C11" s="79"/>
      <c r="D11" s="79"/>
      <c r="E11" s="76"/>
      <c r="F11" s="80"/>
      <c r="G11" s="80"/>
      <c r="H11" s="81"/>
      <c r="I11" s="81"/>
      <c r="J11" s="81"/>
      <c r="K11" s="81"/>
      <c r="L11" s="82"/>
      <c r="M11" s="82"/>
      <c r="N11" s="81"/>
      <c r="O11" s="83"/>
      <c r="P11" s="83"/>
      <c r="Q11" s="84"/>
      <c r="R11" s="84"/>
      <c r="S11" s="84"/>
      <c r="T11" s="85"/>
    </row>
    <row r="12" customFormat="false" ht="15" hidden="false" customHeight="false" outlineLevel="0" collapsed="false">
      <c r="B12" s="79"/>
      <c r="C12" s="79"/>
      <c r="D12" s="79"/>
      <c r="E12" s="76"/>
      <c r="F12" s="80"/>
      <c r="G12" s="80"/>
      <c r="H12" s="81"/>
      <c r="I12" s="81"/>
      <c r="J12" s="81"/>
      <c r="K12" s="81"/>
      <c r="L12" s="82"/>
      <c r="M12" s="82"/>
      <c r="N12" s="81"/>
      <c r="O12" s="83"/>
      <c r="P12" s="83"/>
      <c r="Q12" s="84"/>
      <c r="R12" s="84"/>
      <c r="S12" s="84"/>
      <c r="T12" s="85"/>
    </row>
    <row r="13" customFormat="false" ht="15" hidden="false" customHeight="false" outlineLevel="0" collapsed="false">
      <c r="B13" s="79"/>
      <c r="C13" s="79"/>
      <c r="D13" s="79"/>
      <c r="E13" s="76"/>
      <c r="F13" s="80"/>
      <c r="G13" s="80"/>
      <c r="H13" s="81"/>
      <c r="I13" s="81"/>
      <c r="J13" s="81"/>
      <c r="K13" s="81"/>
      <c r="L13" s="82"/>
      <c r="M13" s="82"/>
      <c r="N13" s="81"/>
      <c r="O13" s="83"/>
      <c r="P13" s="83"/>
      <c r="Q13" s="84"/>
      <c r="R13" s="84"/>
      <c r="S13" s="84"/>
      <c r="T13" s="85"/>
    </row>
    <row r="14" customFormat="false" ht="15" hidden="false" customHeight="false" outlineLevel="0" collapsed="false">
      <c r="B14" s="79"/>
      <c r="C14" s="79"/>
      <c r="D14" s="79"/>
      <c r="E14" s="76"/>
      <c r="F14" s="80"/>
      <c r="G14" s="80"/>
      <c r="H14" s="81"/>
      <c r="I14" s="81"/>
      <c r="J14" s="81"/>
      <c r="K14" s="81"/>
      <c r="L14" s="82"/>
      <c r="M14" s="82"/>
      <c r="N14" s="81"/>
      <c r="O14" s="83"/>
      <c r="P14" s="83"/>
      <c r="Q14" s="84"/>
      <c r="R14" s="84"/>
      <c r="S14" s="84"/>
      <c r="T14" s="85"/>
    </row>
    <row r="15" customFormat="false" ht="15" hidden="false" customHeight="false" outlineLevel="0" collapsed="false">
      <c r="B15" s="79"/>
      <c r="C15" s="79"/>
      <c r="D15" s="79"/>
      <c r="E15" s="76"/>
      <c r="F15" s="80"/>
      <c r="G15" s="80"/>
      <c r="H15" s="81"/>
      <c r="I15" s="81"/>
      <c r="J15" s="81"/>
      <c r="K15" s="81"/>
      <c r="L15" s="82"/>
      <c r="M15" s="82"/>
      <c r="N15" s="81"/>
      <c r="O15" s="83"/>
      <c r="P15" s="83"/>
      <c r="Q15" s="84"/>
      <c r="R15" s="84"/>
      <c r="S15" s="84"/>
      <c r="T15" s="85"/>
    </row>
    <row r="16" customFormat="false" ht="15" hidden="false" customHeight="false" outlineLevel="0" collapsed="false">
      <c r="B16" s="79"/>
      <c r="C16" s="79"/>
      <c r="D16" s="79"/>
      <c r="E16" s="76"/>
      <c r="F16" s="80"/>
      <c r="G16" s="80"/>
      <c r="H16" s="81"/>
      <c r="I16" s="81"/>
      <c r="J16" s="81"/>
      <c r="K16" s="81"/>
      <c r="L16" s="82"/>
      <c r="M16" s="82"/>
      <c r="N16" s="81"/>
      <c r="O16" s="83"/>
      <c r="P16" s="83"/>
      <c r="Q16" s="84"/>
      <c r="R16" s="84"/>
      <c r="S16" s="84"/>
      <c r="T16" s="85"/>
    </row>
    <row r="17" customFormat="false" ht="15" hidden="false" customHeight="false" outlineLevel="0" collapsed="false">
      <c r="B17" s="79"/>
      <c r="C17" s="79"/>
      <c r="D17" s="79"/>
      <c r="E17" s="76"/>
      <c r="F17" s="80"/>
      <c r="G17" s="80"/>
      <c r="H17" s="81"/>
      <c r="I17" s="81"/>
      <c r="J17" s="81"/>
      <c r="K17" s="81"/>
      <c r="L17" s="82"/>
      <c r="M17" s="82"/>
      <c r="N17" s="81"/>
      <c r="O17" s="83"/>
      <c r="P17" s="83"/>
      <c r="Q17" s="84"/>
      <c r="R17" s="84"/>
      <c r="S17" s="84"/>
      <c r="T17" s="85"/>
    </row>
    <row r="18" customFormat="false" ht="15" hidden="false" customHeight="false" outlineLevel="0" collapsed="false">
      <c r="B18" s="79"/>
      <c r="C18" s="79"/>
      <c r="D18" s="79"/>
      <c r="E18" s="76"/>
      <c r="F18" s="80"/>
      <c r="G18" s="80"/>
      <c r="H18" s="81"/>
      <c r="I18" s="81"/>
      <c r="J18" s="81"/>
      <c r="K18" s="81"/>
      <c r="L18" s="82"/>
      <c r="M18" s="82"/>
      <c r="N18" s="81"/>
      <c r="O18" s="83"/>
      <c r="P18" s="83"/>
      <c r="Q18" s="84"/>
      <c r="R18" s="84"/>
      <c r="S18" s="84"/>
      <c r="T18" s="85"/>
    </row>
    <row r="19" customFormat="false" ht="15" hidden="false" customHeight="false" outlineLevel="0" collapsed="false">
      <c r="B19" s="79"/>
      <c r="C19" s="79"/>
      <c r="D19" s="79"/>
      <c r="E19" s="76"/>
      <c r="F19" s="80"/>
      <c r="G19" s="80"/>
      <c r="H19" s="81"/>
      <c r="I19" s="81"/>
      <c r="J19" s="81"/>
      <c r="K19" s="81"/>
      <c r="L19" s="82"/>
      <c r="M19" s="82"/>
      <c r="N19" s="81"/>
      <c r="O19" s="83"/>
      <c r="P19" s="83"/>
      <c r="Q19" s="84"/>
      <c r="R19" s="84"/>
      <c r="S19" s="84"/>
      <c r="T19" s="85"/>
    </row>
    <row r="20" customFormat="false" ht="15" hidden="false" customHeight="false" outlineLevel="0" collapsed="false">
      <c r="B20" s="79"/>
      <c r="C20" s="79"/>
      <c r="D20" s="79"/>
      <c r="E20" s="76"/>
      <c r="F20" s="80"/>
      <c r="G20" s="80"/>
      <c r="H20" s="81"/>
      <c r="I20" s="81"/>
      <c r="J20" s="81"/>
      <c r="K20" s="81"/>
      <c r="L20" s="82"/>
      <c r="M20" s="82"/>
      <c r="N20" s="81"/>
      <c r="O20" s="83"/>
      <c r="P20" s="83"/>
      <c r="Q20" s="84"/>
      <c r="R20" s="84"/>
      <c r="S20" s="84"/>
      <c r="T20" s="85"/>
    </row>
    <row r="21" customFormat="false" ht="15" hidden="false" customHeight="false" outlineLevel="0" collapsed="false">
      <c r="B21" s="79"/>
      <c r="C21" s="79"/>
      <c r="D21" s="79"/>
      <c r="E21" s="76"/>
      <c r="F21" s="80"/>
      <c r="G21" s="80"/>
      <c r="H21" s="81"/>
      <c r="I21" s="81"/>
      <c r="J21" s="81"/>
      <c r="K21" s="81"/>
      <c r="L21" s="82"/>
      <c r="M21" s="82"/>
      <c r="N21" s="81"/>
      <c r="O21" s="83"/>
      <c r="P21" s="83"/>
      <c r="Q21" s="84"/>
      <c r="R21" s="84"/>
      <c r="S21" s="84"/>
      <c r="T21" s="85"/>
    </row>
    <row r="22" customFormat="false" ht="15" hidden="false" customHeight="false" outlineLevel="0" collapsed="false">
      <c r="B22" s="79"/>
      <c r="C22" s="79"/>
      <c r="D22" s="79"/>
      <c r="E22" s="76"/>
      <c r="F22" s="80"/>
      <c r="G22" s="80"/>
      <c r="H22" s="81"/>
      <c r="I22" s="81"/>
      <c r="J22" s="81"/>
      <c r="K22" s="81"/>
      <c r="L22" s="82"/>
      <c r="M22" s="82"/>
      <c r="N22" s="81"/>
      <c r="O22" s="83"/>
      <c r="P22" s="83"/>
      <c r="Q22" s="84"/>
      <c r="R22" s="84"/>
      <c r="S22" s="84"/>
      <c r="T22" s="85"/>
    </row>
    <row r="23" customFormat="false" ht="15" hidden="false" customHeight="false" outlineLevel="0" collapsed="false">
      <c r="B23" s="79"/>
      <c r="C23" s="79"/>
      <c r="D23" s="79"/>
      <c r="E23" s="76"/>
      <c r="F23" s="80"/>
      <c r="G23" s="80"/>
      <c r="H23" s="81"/>
      <c r="I23" s="81"/>
      <c r="J23" s="81"/>
      <c r="K23" s="81"/>
      <c r="L23" s="82"/>
      <c r="M23" s="82"/>
      <c r="N23" s="81"/>
      <c r="O23" s="83"/>
      <c r="P23" s="83"/>
      <c r="Q23" s="84"/>
      <c r="R23" s="84"/>
      <c r="S23" s="84"/>
      <c r="T23" s="85"/>
    </row>
    <row r="24" customFormat="false" ht="15" hidden="false" customHeight="false" outlineLevel="0" collapsed="false">
      <c r="B24" s="79"/>
      <c r="C24" s="79"/>
      <c r="D24" s="79"/>
      <c r="E24" s="76"/>
      <c r="F24" s="80"/>
      <c r="G24" s="80"/>
      <c r="H24" s="81"/>
      <c r="I24" s="81"/>
      <c r="J24" s="81"/>
      <c r="K24" s="81"/>
      <c r="L24" s="82"/>
      <c r="M24" s="82"/>
      <c r="N24" s="81"/>
      <c r="O24" s="83"/>
      <c r="P24" s="83"/>
      <c r="Q24" s="84"/>
      <c r="R24" s="84"/>
      <c r="S24" s="84"/>
      <c r="T24" s="85"/>
    </row>
    <row r="25" customFormat="false" ht="15" hidden="false" customHeight="false" outlineLevel="0" collapsed="false">
      <c r="B25" s="79"/>
      <c r="C25" s="79"/>
      <c r="D25" s="79"/>
      <c r="E25" s="76"/>
      <c r="F25" s="80"/>
      <c r="G25" s="80"/>
      <c r="H25" s="81"/>
      <c r="I25" s="81"/>
      <c r="J25" s="81"/>
      <c r="K25" s="81"/>
      <c r="L25" s="82"/>
      <c r="M25" s="82"/>
      <c r="N25" s="81"/>
      <c r="O25" s="83"/>
      <c r="P25" s="83"/>
      <c r="Q25" s="84"/>
      <c r="R25" s="84"/>
      <c r="S25" s="84"/>
      <c r="T25" s="85"/>
    </row>
    <row r="26" customFormat="false" ht="15" hidden="false" customHeight="false" outlineLevel="0" collapsed="false">
      <c r="B26" s="79"/>
      <c r="C26" s="79"/>
      <c r="D26" s="79"/>
      <c r="E26" s="76"/>
      <c r="F26" s="80"/>
      <c r="G26" s="80"/>
      <c r="H26" s="81"/>
      <c r="I26" s="81"/>
      <c r="J26" s="81"/>
      <c r="K26" s="81"/>
      <c r="L26" s="82"/>
      <c r="M26" s="82"/>
      <c r="N26" s="81"/>
      <c r="O26" s="83"/>
      <c r="P26" s="83"/>
      <c r="Q26" s="84"/>
      <c r="R26" s="84"/>
      <c r="S26" s="84"/>
      <c r="T26" s="85"/>
    </row>
    <row r="27" customFormat="false" ht="15" hidden="false" customHeight="false" outlineLevel="0" collapsed="false">
      <c r="B27" s="79"/>
      <c r="C27" s="79"/>
      <c r="D27" s="79"/>
      <c r="E27" s="76"/>
      <c r="F27" s="80"/>
      <c r="G27" s="80"/>
      <c r="H27" s="81"/>
      <c r="I27" s="81"/>
      <c r="J27" s="81"/>
      <c r="K27" s="81"/>
      <c r="L27" s="82"/>
      <c r="M27" s="82"/>
      <c r="N27" s="81"/>
      <c r="O27" s="83"/>
      <c r="P27" s="83"/>
      <c r="Q27" s="84"/>
      <c r="R27" s="84"/>
      <c r="S27" s="84"/>
      <c r="T27" s="85"/>
    </row>
    <row r="28" customFormat="false" ht="15" hidden="false" customHeight="false" outlineLevel="0" collapsed="false">
      <c r="B28" s="79"/>
      <c r="C28" s="79"/>
      <c r="D28" s="79"/>
      <c r="E28" s="76"/>
      <c r="F28" s="80"/>
      <c r="G28" s="80"/>
      <c r="H28" s="81"/>
      <c r="I28" s="81"/>
      <c r="J28" s="81"/>
      <c r="K28" s="81"/>
      <c r="L28" s="82"/>
      <c r="M28" s="82"/>
      <c r="N28" s="81"/>
      <c r="O28" s="83"/>
      <c r="P28" s="83"/>
      <c r="Q28" s="84"/>
      <c r="R28" s="84"/>
      <c r="S28" s="84"/>
      <c r="T28" s="85"/>
    </row>
    <row r="29" customFormat="false" ht="15" hidden="false" customHeight="false" outlineLevel="0" collapsed="false">
      <c r="B29" s="79"/>
      <c r="C29" s="79"/>
      <c r="D29" s="79"/>
      <c r="E29" s="76"/>
      <c r="F29" s="80"/>
      <c r="G29" s="80"/>
      <c r="H29" s="81"/>
      <c r="I29" s="81"/>
      <c r="J29" s="81"/>
      <c r="K29" s="81"/>
      <c r="L29" s="82"/>
      <c r="M29" s="82"/>
      <c r="N29" s="81"/>
      <c r="O29" s="83"/>
      <c r="P29" s="83"/>
      <c r="Q29" s="84"/>
      <c r="R29" s="84"/>
      <c r="S29" s="84"/>
      <c r="T29" s="85"/>
    </row>
    <row r="30" customFormat="false" ht="15" hidden="false" customHeight="false" outlineLevel="0" collapsed="false">
      <c r="B30" s="79"/>
      <c r="C30" s="79"/>
      <c r="D30" s="79"/>
      <c r="E30" s="76"/>
      <c r="F30" s="80"/>
      <c r="G30" s="80"/>
      <c r="H30" s="81"/>
      <c r="I30" s="81"/>
      <c r="J30" s="81"/>
      <c r="K30" s="81"/>
      <c r="L30" s="82"/>
      <c r="M30" s="82"/>
      <c r="N30" s="81"/>
      <c r="O30" s="83"/>
      <c r="P30" s="83"/>
      <c r="Q30" s="84"/>
      <c r="R30" s="84"/>
      <c r="S30" s="84"/>
      <c r="T30" s="85"/>
    </row>
    <row r="31" customFormat="false" ht="15" hidden="false" customHeight="false" outlineLevel="0" collapsed="false">
      <c r="B31" s="79"/>
      <c r="C31" s="79"/>
      <c r="D31" s="79"/>
      <c r="E31" s="76"/>
      <c r="F31" s="80"/>
      <c r="G31" s="80"/>
      <c r="H31" s="81"/>
      <c r="I31" s="81"/>
      <c r="J31" s="81"/>
      <c r="K31" s="81"/>
      <c r="L31" s="82"/>
      <c r="M31" s="82"/>
      <c r="N31" s="81"/>
      <c r="O31" s="83"/>
      <c r="P31" s="83"/>
      <c r="Q31" s="84"/>
      <c r="R31" s="84"/>
      <c r="S31" s="84"/>
      <c r="T31" s="85"/>
    </row>
    <row r="32" customFormat="false" ht="15" hidden="false" customHeight="false" outlineLevel="0" collapsed="false">
      <c r="B32" s="79"/>
      <c r="C32" s="79"/>
      <c r="D32" s="79"/>
      <c r="E32" s="76"/>
      <c r="F32" s="80"/>
      <c r="G32" s="80"/>
      <c r="H32" s="81"/>
      <c r="I32" s="81"/>
      <c r="J32" s="81"/>
      <c r="K32" s="81"/>
      <c r="L32" s="82"/>
      <c r="M32" s="82"/>
      <c r="N32" s="81"/>
      <c r="O32" s="83"/>
      <c r="P32" s="83"/>
      <c r="Q32" s="84"/>
      <c r="R32" s="84"/>
      <c r="S32" s="84"/>
      <c r="T32" s="85"/>
    </row>
    <row r="33" customFormat="false" ht="15" hidden="false" customHeight="false" outlineLevel="0" collapsed="false">
      <c r="B33" s="79"/>
      <c r="C33" s="79"/>
      <c r="D33" s="79"/>
      <c r="E33" s="76"/>
      <c r="F33" s="80"/>
      <c r="G33" s="80"/>
      <c r="H33" s="81"/>
      <c r="I33" s="81"/>
      <c r="J33" s="81"/>
      <c r="K33" s="81"/>
      <c r="L33" s="82"/>
      <c r="M33" s="82"/>
      <c r="N33" s="81"/>
      <c r="O33" s="83"/>
      <c r="P33" s="83"/>
      <c r="Q33" s="84"/>
      <c r="R33" s="84"/>
      <c r="S33" s="84"/>
      <c r="T33" s="85"/>
    </row>
    <row r="34" customFormat="false" ht="15" hidden="false" customHeight="false" outlineLevel="0" collapsed="false">
      <c r="B34" s="79"/>
      <c r="C34" s="79"/>
      <c r="D34" s="79"/>
      <c r="E34" s="76"/>
      <c r="F34" s="80"/>
      <c r="G34" s="80"/>
      <c r="H34" s="81"/>
      <c r="I34" s="81"/>
      <c r="J34" s="81"/>
      <c r="K34" s="81"/>
      <c r="L34" s="82"/>
      <c r="M34" s="82"/>
      <c r="N34" s="81"/>
      <c r="O34" s="83"/>
      <c r="P34" s="83"/>
      <c r="Q34" s="84"/>
      <c r="R34" s="84"/>
      <c r="S34" s="84"/>
      <c r="T34" s="85"/>
    </row>
    <row r="35" customFormat="false" ht="15" hidden="false" customHeight="false" outlineLevel="0" collapsed="false">
      <c r="B35" s="79"/>
      <c r="C35" s="79"/>
      <c r="D35" s="79"/>
      <c r="E35" s="76"/>
      <c r="F35" s="80"/>
      <c r="G35" s="80"/>
      <c r="H35" s="81"/>
      <c r="I35" s="81"/>
      <c r="J35" s="81"/>
      <c r="K35" s="81"/>
      <c r="L35" s="82"/>
      <c r="M35" s="82"/>
      <c r="N35" s="81"/>
      <c r="O35" s="83"/>
      <c r="P35" s="83"/>
      <c r="Q35" s="84"/>
      <c r="R35" s="84"/>
      <c r="S35" s="84"/>
      <c r="T35" s="85"/>
    </row>
    <row r="36" customFormat="false" ht="15" hidden="false" customHeight="false" outlineLevel="0" collapsed="false">
      <c r="B36" s="79"/>
      <c r="C36" s="79"/>
      <c r="D36" s="79"/>
      <c r="E36" s="76"/>
      <c r="F36" s="80"/>
      <c r="G36" s="80"/>
      <c r="H36" s="81"/>
      <c r="I36" s="81"/>
      <c r="J36" s="81"/>
      <c r="K36" s="81"/>
      <c r="L36" s="82"/>
      <c r="M36" s="82"/>
      <c r="N36" s="81"/>
      <c r="O36" s="83"/>
      <c r="P36" s="83"/>
      <c r="Q36" s="84"/>
      <c r="R36" s="84"/>
      <c r="S36" s="84"/>
      <c r="T36" s="85"/>
    </row>
    <row r="37" customFormat="false" ht="15" hidden="false" customHeight="false" outlineLevel="0" collapsed="false">
      <c r="B37" s="79"/>
      <c r="C37" s="79"/>
      <c r="D37" s="79"/>
      <c r="E37" s="76"/>
      <c r="F37" s="80"/>
      <c r="G37" s="80"/>
      <c r="H37" s="81"/>
      <c r="I37" s="81"/>
      <c r="J37" s="81"/>
      <c r="K37" s="81"/>
      <c r="L37" s="82"/>
      <c r="M37" s="82"/>
      <c r="N37" s="81"/>
      <c r="O37" s="83"/>
      <c r="P37" s="83"/>
      <c r="Q37" s="84"/>
      <c r="R37" s="84"/>
      <c r="S37" s="84"/>
      <c r="T37" s="85"/>
    </row>
    <row r="38" customFormat="false" ht="15" hidden="false" customHeight="false" outlineLevel="0" collapsed="false">
      <c r="B38" s="79"/>
      <c r="C38" s="79"/>
      <c r="D38" s="79"/>
      <c r="E38" s="76"/>
      <c r="F38" s="80"/>
      <c r="G38" s="80"/>
      <c r="H38" s="81"/>
      <c r="I38" s="81"/>
      <c r="J38" s="81"/>
      <c r="K38" s="81"/>
      <c r="L38" s="82"/>
      <c r="M38" s="82"/>
      <c r="N38" s="81"/>
      <c r="O38" s="83"/>
      <c r="P38" s="83"/>
      <c r="Q38" s="84"/>
      <c r="R38" s="84"/>
      <c r="S38" s="84"/>
      <c r="T38" s="85"/>
    </row>
    <row r="39" customFormat="false" ht="15" hidden="false" customHeight="false" outlineLevel="0" collapsed="false">
      <c r="B39" s="79"/>
      <c r="C39" s="79"/>
      <c r="D39" s="79"/>
      <c r="E39" s="76"/>
      <c r="F39" s="80"/>
      <c r="G39" s="80"/>
      <c r="H39" s="81"/>
      <c r="I39" s="81"/>
      <c r="J39" s="81"/>
      <c r="K39" s="81"/>
      <c r="L39" s="82"/>
      <c r="M39" s="82"/>
      <c r="N39" s="81"/>
      <c r="O39" s="83"/>
      <c r="P39" s="83"/>
      <c r="Q39" s="84"/>
      <c r="R39" s="84"/>
      <c r="S39" s="84"/>
      <c r="T39" s="85"/>
    </row>
    <row r="40" customFormat="false" ht="15" hidden="false" customHeight="false" outlineLevel="0" collapsed="false">
      <c r="B40" s="79"/>
      <c r="C40" s="79"/>
      <c r="D40" s="79"/>
      <c r="E40" s="76"/>
      <c r="F40" s="80"/>
      <c r="G40" s="80"/>
      <c r="H40" s="81"/>
      <c r="I40" s="81"/>
      <c r="J40" s="81"/>
      <c r="K40" s="81"/>
      <c r="L40" s="82"/>
      <c r="M40" s="82"/>
      <c r="N40" s="81"/>
      <c r="O40" s="83"/>
      <c r="P40" s="83"/>
      <c r="Q40" s="84"/>
      <c r="R40" s="84"/>
      <c r="S40" s="84"/>
      <c r="T40" s="85"/>
    </row>
    <row r="41" customFormat="false" ht="15" hidden="false" customHeight="false" outlineLevel="0" collapsed="false">
      <c r="B41" s="79"/>
      <c r="C41" s="79"/>
      <c r="D41" s="79"/>
      <c r="E41" s="76"/>
      <c r="F41" s="80"/>
      <c r="G41" s="80"/>
      <c r="H41" s="81"/>
      <c r="I41" s="81"/>
      <c r="J41" s="81"/>
      <c r="K41" s="81"/>
      <c r="L41" s="82"/>
      <c r="M41" s="82"/>
      <c r="N41" s="81"/>
      <c r="O41" s="83"/>
      <c r="P41" s="83"/>
      <c r="Q41" s="84"/>
      <c r="R41" s="84"/>
      <c r="S41" s="84"/>
      <c r="T41" s="85"/>
    </row>
    <row r="42" customFormat="false" ht="15" hidden="false" customHeight="false" outlineLevel="0" collapsed="false">
      <c r="B42" s="79"/>
      <c r="C42" s="79"/>
      <c r="D42" s="79"/>
      <c r="E42" s="76"/>
      <c r="F42" s="80"/>
      <c r="G42" s="80"/>
      <c r="H42" s="81"/>
      <c r="I42" s="81"/>
      <c r="J42" s="81"/>
      <c r="K42" s="81"/>
      <c r="L42" s="82"/>
      <c r="M42" s="82"/>
      <c r="N42" s="81"/>
      <c r="O42" s="83"/>
      <c r="P42" s="83"/>
      <c r="Q42" s="84"/>
      <c r="R42" s="84"/>
      <c r="S42" s="84"/>
      <c r="T42" s="85"/>
    </row>
    <row r="43" customFormat="false" ht="15" hidden="false" customHeight="false" outlineLevel="0" collapsed="false">
      <c r="B43" s="79"/>
      <c r="C43" s="79"/>
      <c r="D43" s="79"/>
      <c r="E43" s="76"/>
      <c r="F43" s="80"/>
      <c r="G43" s="80"/>
      <c r="H43" s="81"/>
      <c r="I43" s="81"/>
      <c r="J43" s="81"/>
      <c r="K43" s="81"/>
      <c r="L43" s="82"/>
      <c r="M43" s="82"/>
      <c r="N43" s="81"/>
      <c r="O43" s="83"/>
      <c r="P43" s="83"/>
      <c r="Q43" s="84"/>
      <c r="R43" s="84"/>
      <c r="S43" s="84"/>
      <c r="T43" s="85"/>
    </row>
    <row r="44" customFormat="false" ht="15" hidden="false" customHeight="false" outlineLevel="0" collapsed="false">
      <c r="B44" s="79"/>
      <c r="C44" s="79"/>
      <c r="D44" s="79"/>
      <c r="E44" s="76"/>
      <c r="F44" s="80"/>
      <c r="G44" s="80"/>
      <c r="H44" s="81"/>
      <c r="I44" s="81"/>
      <c r="J44" s="81"/>
      <c r="K44" s="81"/>
      <c r="L44" s="82"/>
      <c r="M44" s="82"/>
      <c r="N44" s="81"/>
      <c r="O44" s="83"/>
      <c r="P44" s="83"/>
      <c r="Q44" s="84"/>
      <c r="R44" s="84"/>
      <c r="S44" s="84"/>
      <c r="T44" s="85"/>
    </row>
    <row r="45" customFormat="false" ht="15" hidden="false" customHeight="false" outlineLevel="0" collapsed="false">
      <c r="B45" s="79"/>
      <c r="C45" s="79"/>
      <c r="D45" s="79"/>
      <c r="E45" s="76"/>
      <c r="F45" s="80"/>
      <c r="G45" s="80"/>
      <c r="H45" s="81"/>
      <c r="I45" s="81"/>
      <c r="J45" s="81"/>
      <c r="K45" s="81"/>
      <c r="L45" s="82"/>
      <c r="M45" s="82"/>
      <c r="N45" s="81"/>
      <c r="O45" s="83"/>
      <c r="P45" s="83"/>
      <c r="Q45" s="84"/>
      <c r="R45" s="84"/>
      <c r="S45" s="84"/>
      <c r="T45" s="85"/>
    </row>
    <row r="46" customFormat="false" ht="15" hidden="false" customHeight="false" outlineLevel="0" collapsed="false">
      <c r="B46" s="79"/>
      <c r="C46" s="79"/>
      <c r="D46" s="79"/>
      <c r="E46" s="76"/>
      <c r="F46" s="80"/>
      <c r="G46" s="80"/>
      <c r="H46" s="81"/>
      <c r="I46" s="81"/>
      <c r="J46" s="81"/>
      <c r="K46" s="81"/>
      <c r="L46" s="82"/>
      <c r="M46" s="82"/>
      <c r="N46" s="81"/>
      <c r="O46" s="83"/>
      <c r="P46" s="83"/>
      <c r="Q46" s="84"/>
      <c r="R46" s="84"/>
      <c r="S46" s="84"/>
      <c r="T46" s="85"/>
    </row>
    <row r="47" customFormat="false" ht="15" hidden="false" customHeight="false" outlineLevel="0" collapsed="false">
      <c r="B47" s="79"/>
      <c r="C47" s="79"/>
      <c r="D47" s="79"/>
      <c r="E47" s="76"/>
      <c r="F47" s="80"/>
      <c r="G47" s="80"/>
      <c r="H47" s="81"/>
      <c r="I47" s="81"/>
      <c r="J47" s="81"/>
      <c r="K47" s="81"/>
      <c r="L47" s="82"/>
      <c r="M47" s="82"/>
      <c r="N47" s="81"/>
      <c r="O47" s="83"/>
      <c r="P47" s="83"/>
      <c r="Q47" s="84"/>
      <c r="R47" s="84"/>
      <c r="S47" s="84"/>
      <c r="T47" s="85"/>
    </row>
    <row r="48" customFormat="false" ht="15" hidden="false" customHeight="false" outlineLevel="0" collapsed="false">
      <c r="B48" s="79"/>
      <c r="C48" s="79"/>
      <c r="D48" s="79"/>
      <c r="E48" s="76"/>
      <c r="F48" s="80"/>
      <c r="G48" s="80"/>
      <c r="H48" s="81"/>
      <c r="I48" s="81"/>
      <c r="J48" s="81"/>
      <c r="K48" s="81"/>
      <c r="L48" s="82"/>
      <c r="M48" s="82"/>
      <c r="N48" s="81"/>
      <c r="O48" s="83"/>
      <c r="P48" s="83"/>
      <c r="Q48" s="84"/>
      <c r="R48" s="84"/>
      <c r="S48" s="84"/>
      <c r="T48" s="85"/>
    </row>
    <row r="49" customFormat="false" ht="15" hidden="false" customHeight="false" outlineLevel="0" collapsed="false">
      <c r="B49" s="79"/>
      <c r="C49" s="79"/>
      <c r="D49" s="79"/>
      <c r="E49" s="76"/>
      <c r="F49" s="80"/>
      <c r="G49" s="80"/>
      <c r="H49" s="81"/>
      <c r="I49" s="81"/>
      <c r="J49" s="81"/>
      <c r="K49" s="81"/>
      <c r="L49" s="82"/>
      <c r="M49" s="82"/>
      <c r="N49" s="81"/>
      <c r="O49" s="83"/>
      <c r="P49" s="83"/>
      <c r="Q49" s="84"/>
      <c r="R49" s="84"/>
      <c r="S49" s="84"/>
      <c r="T49" s="85"/>
    </row>
    <row r="50" customFormat="false" ht="15" hidden="false" customHeight="false" outlineLevel="0" collapsed="false">
      <c r="B50" s="79"/>
      <c r="C50" s="79"/>
      <c r="D50" s="79"/>
      <c r="E50" s="76"/>
      <c r="F50" s="80"/>
      <c r="G50" s="80"/>
      <c r="H50" s="81"/>
      <c r="I50" s="81"/>
      <c r="J50" s="81"/>
      <c r="K50" s="81"/>
      <c r="L50" s="82"/>
      <c r="M50" s="82"/>
      <c r="N50" s="81"/>
      <c r="O50" s="83"/>
      <c r="P50" s="83"/>
      <c r="Q50" s="84"/>
      <c r="R50" s="84"/>
      <c r="S50" s="84"/>
      <c r="T50" s="85"/>
    </row>
    <row r="51" customFormat="false" ht="15" hidden="false" customHeight="false" outlineLevel="0" collapsed="false">
      <c r="B51" s="79"/>
      <c r="C51" s="79"/>
      <c r="D51" s="79"/>
      <c r="E51" s="76"/>
      <c r="F51" s="80"/>
      <c r="G51" s="80"/>
      <c r="H51" s="81"/>
      <c r="I51" s="81"/>
      <c r="J51" s="81"/>
      <c r="K51" s="81"/>
      <c r="L51" s="82"/>
      <c r="M51" s="82"/>
      <c r="N51" s="81"/>
      <c r="O51" s="83"/>
      <c r="P51" s="83"/>
      <c r="Q51" s="84"/>
      <c r="R51" s="84"/>
      <c r="S51" s="84"/>
      <c r="T51" s="85"/>
    </row>
    <row r="52" customFormat="false" ht="15" hidden="false" customHeight="false" outlineLevel="0" collapsed="false">
      <c r="B52" s="79"/>
      <c r="C52" s="79"/>
      <c r="D52" s="79"/>
      <c r="E52" s="76"/>
      <c r="F52" s="80"/>
      <c r="G52" s="80"/>
      <c r="H52" s="81"/>
      <c r="I52" s="81"/>
      <c r="J52" s="81"/>
      <c r="K52" s="81"/>
      <c r="L52" s="82"/>
      <c r="M52" s="82"/>
      <c r="N52" s="81"/>
      <c r="O52" s="83"/>
      <c r="P52" s="83"/>
      <c r="Q52" s="84"/>
      <c r="R52" s="84"/>
      <c r="S52" s="84"/>
      <c r="T52" s="85"/>
    </row>
    <row r="53" customFormat="false" ht="15" hidden="false" customHeight="false" outlineLevel="0" collapsed="false">
      <c r="B53" s="79"/>
      <c r="C53" s="79"/>
      <c r="D53" s="79"/>
      <c r="E53" s="76"/>
      <c r="F53" s="80"/>
      <c r="G53" s="80"/>
      <c r="H53" s="81"/>
      <c r="I53" s="81"/>
      <c r="J53" s="81"/>
      <c r="K53" s="81"/>
      <c r="L53" s="82"/>
      <c r="M53" s="82"/>
      <c r="N53" s="81"/>
      <c r="O53" s="83"/>
      <c r="P53" s="83"/>
      <c r="Q53" s="84"/>
      <c r="R53" s="84"/>
      <c r="S53" s="84"/>
      <c r="T53" s="85"/>
    </row>
    <row r="54" customFormat="false" ht="15" hidden="false" customHeight="false" outlineLevel="0" collapsed="false">
      <c r="B54" s="79"/>
      <c r="C54" s="79"/>
      <c r="D54" s="79"/>
      <c r="E54" s="76"/>
      <c r="F54" s="80"/>
      <c r="G54" s="80"/>
      <c r="H54" s="81"/>
      <c r="I54" s="81"/>
      <c r="J54" s="81"/>
      <c r="K54" s="81"/>
      <c r="L54" s="82"/>
      <c r="M54" s="82"/>
      <c r="N54" s="81"/>
      <c r="O54" s="83"/>
      <c r="P54" s="83"/>
      <c r="Q54" s="84"/>
      <c r="R54" s="84"/>
      <c r="S54" s="84"/>
      <c r="T54" s="85"/>
    </row>
    <row r="55" customFormat="false" ht="15" hidden="false" customHeight="false" outlineLevel="0" collapsed="false">
      <c r="B55" s="79"/>
      <c r="C55" s="79"/>
      <c r="D55" s="79"/>
      <c r="E55" s="76"/>
      <c r="F55" s="80"/>
      <c r="G55" s="80"/>
      <c r="H55" s="81"/>
      <c r="I55" s="81"/>
      <c r="J55" s="81"/>
      <c r="K55" s="81"/>
      <c r="L55" s="82"/>
      <c r="M55" s="82"/>
      <c r="N55" s="81"/>
      <c r="O55" s="83"/>
      <c r="P55" s="83"/>
      <c r="Q55" s="84"/>
      <c r="R55" s="84"/>
      <c r="S55" s="84"/>
      <c r="T55" s="85"/>
    </row>
    <row r="56" customFormat="false" ht="15" hidden="false" customHeight="false" outlineLevel="0" collapsed="false">
      <c r="B56" s="79"/>
      <c r="C56" s="79"/>
      <c r="D56" s="79"/>
      <c r="E56" s="76"/>
      <c r="F56" s="80"/>
      <c r="G56" s="80"/>
      <c r="H56" s="81"/>
      <c r="I56" s="81"/>
      <c r="J56" s="81"/>
      <c r="K56" s="81"/>
      <c r="L56" s="82"/>
      <c r="M56" s="82"/>
      <c r="N56" s="81"/>
      <c r="O56" s="83"/>
      <c r="P56" s="83"/>
      <c r="Q56" s="84"/>
      <c r="R56" s="84"/>
      <c r="S56" s="84"/>
      <c r="T56" s="85"/>
    </row>
    <row r="57" customFormat="false" ht="15" hidden="false" customHeight="false" outlineLevel="0" collapsed="false">
      <c r="B57" s="79"/>
      <c r="C57" s="79"/>
      <c r="D57" s="79"/>
      <c r="E57" s="76"/>
      <c r="F57" s="80"/>
      <c r="G57" s="80"/>
      <c r="H57" s="81"/>
      <c r="I57" s="81"/>
      <c r="J57" s="81"/>
      <c r="K57" s="81"/>
      <c r="L57" s="82"/>
      <c r="M57" s="82"/>
      <c r="N57" s="81"/>
      <c r="O57" s="83"/>
      <c r="P57" s="83"/>
      <c r="Q57" s="84"/>
      <c r="R57" s="84"/>
      <c r="S57" s="84"/>
      <c r="T57" s="85"/>
    </row>
    <row r="58" customFormat="false" ht="15" hidden="false" customHeight="false" outlineLevel="0" collapsed="false">
      <c r="B58" s="79"/>
      <c r="C58" s="79"/>
      <c r="D58" s="79"/>
      <c r="E58" s="76"/>
      <c r="F58" s="80"/>
      <c r="G58" s="80"/>
      <c r="H58" s="81"/>
      <c r="I58" s="81"/>
      <c r="J58" s="81"/>
      <c r="K58" s="81"/>
      <c r="L58" s="82"/>
      <c r="M58" s="82"/>
      <c r="N58" s="81"/>
      <c r="O58" s="83"/>
      <c r="P58" s="83"/>
      <c r="Q58" s="84"/>
      <c r="R58" s="84"/>
      <c r="S58" s="84"/>
      <c r="T58" s="85"/>
    </row>
    <row r="59" customFormat="false" ht="15" hidden="false" customHeight="false" outlineLevel="0" collapsed="false">
      <c r="B59" s="79"/>
      <c r="C59" s="79"/>
      <c r="D59" s="79"/>
      <c r="E59" s="76"/>
      <c r="F59" s="80"/>
      <c r="G59" s="80"/>
      <c r="H59" s="81"/>
      <c r="I59" s="81"/>
      <c r="J59" s="81"/>
      <c r="K59" s="81"/>
      <c r="L59" s="82"/>
      <c r="M59" s="82"/>
      <c r="N59" s="81"/>
      <c r="O59" s="83"/>
      <c r="P59" s="83"/>
      <c r="Q59" s="84"/>
      <c r="R59" s="84"/>
      <c r="S59" s="84"/>
      <c r="T59" s="85"/>
    </row>
    <row r="60" customFormat="false" ht="15" hidden="false" customHeight="false" outlineLevel="0" collapsed="false">
      <c r="B60" s="79"/>
      <c r="C60" s="79"/>
      <c r="D60" s="79"/>
      <c r="E60" s="76"/>
      <c r="F60" s="80"/>
      <c r="G60" s="80"/>
      <c r="H60" s="81"/>
      <c r="I60" s="81"/>
      <c r="J60" s="81"/>
      <c r="K60" s="81"/>
      <c r="L60" s="82"/>
      <c r="M60" s="82"/>
      <c r="N60" s="81"/>
      <c r="O60" s="83"/>
      <c r="P60" s="83"/>
      <c r="Q60" s="84"/>
      <c r="R60" s="84"/>
      <c r="S60" s="84"/>
      <c r="T60" s="85"/>
    </row>
    <row r="61" customFormat="false" ht="15" hidden="false" customHeight="false" outlineLevel="0" collapsed="false">
      <c r="B61" s="79"/>
      <c r="C61" s="79"/>
      <c r="D61" s="79"/>
      <c r="E61" s="76"/>
      <c r="F61" s="80"/>
      <c r="G61" s="80"/>
      <c r="H61" s="81"/>
      <c r="I61" s="81"/>
      <c r="J61" s="81"/>
      <c r="K61" s="81"/>
      <c r="L61" s="82"/>
      <c r="M61" s="82"/>
      <c r="N61" s="81"/>
      <c r="O61" s="83"/>
      <c r="P61" s="83"/>
      <c r="Q61" s="84"/>
      <c r="R61" s="84"/>
      <c r="S61" s="84"/>
      <c r="T61" s="85"/>
    </row>
    <row r="62" customFormat="false" ht="15" hidden="false" customHeight="false" outlineLevel="0" collapsed="false">
      <c r="B62" s="79"/>
      <c r="C62" s="79"/>
      <c r="D62" s="79"/>
      <c r="E62" s="76"/>
      <c r="F62" s="80"/>
      <c r="G62" s="80"/>
      <c r="H62" s="81"/>
      <c r="I62" s="81"/>
      <c r="J62" s="81"/>
      <c r="K62" s="81"/>
      <c r="L62" s="82"/>
      <c r="M62" s="82"/>
      <c r="N62" s="81"/>
      <c r="O62" s="83"/>
      <c r="P62" s="83"/>
      <c r="Q62" s="84"/>
      <c r="R62" s="84"/>
      <c r="S62" s="84"/>
      <c r="T62" s="85"/>
    </row>
    <row r="63" customFormat="false" ht="15" hidden="false" customHeight="false" outlineLevel="0" collapsed="false">
      <c r="B63" s="79"/>
      <c r="C63" s="79"/>
      <c r="D63" s="79"/>
      <c r="E63" s="76"/>
      <c r="F63" s="80"/>
      <c r="G63" s="80"/>
      <c r="H63" s="81"/>
      <c r="I63" s="81"/>
      <c r="J63" s="81"/>
      <c r="K63" s="81"/>
      <c r="L63" s="82"/>
      <c r="M63" s="82"/>
      <c r="N63" s="81"/>
      <c r="O63" s="83"/>
      <c r="P63" s="83"/>
      <c r="Q63" s="84"/>
      <c r="R63" s="84"/>
      <c r="S63" s="84"/>
      <c r="T63" s="85"/>
    </row>
    <row r="64" customFormat="false" ht="15" hidden="false" customHeight="false" outlineLevel="0" collapsed="false">
      <c r="B64" s="79"/>
      <c r="C64" s="79"/>
      <c r="D64" s="79"/>
      <c r="E64" s="76"/>
      <c r="F64" s="80"/>
      <c r="G64" s="80"/>
      <c r="H64" s="81"/>
      <c r="I64" s="81"/>
      <c r="J64" s="81"/>
      <c r="K64" s="81"/>
      <c r="L64" s="82"/>
      <c r="M64" s="82"/>
      <c r="N64" s="81"/>
      <c r="O64" s="83"/>
      <c r="P64" s="83"/>
      <c r="Q64" s="84"/>
      <c r="R64" s="84"/>
      <c r="S64" s="84"/>
      <c r="T64" s="85"/>
    </row>
    <row r="65" customFormat="false" ht="15" hidden="false" customHeight="false" outlineLevel="0" collapsed="false">
      <c r="B65" s="79"/>
      <c r="C65" s="79"/>
      <c r="D65" s="79"/>
      <c r="E65" s="76"/>
      <c r="F65" s="80"/>
      <c r="G65" s="80"/>
      <c r="H65" s="81"/>
      <c r="I65" s="81"/>
      <c r="J65" s="81"/>
      <c r="K65" s="81"/>
      <c r="L65" s="82"/>
      <c r="M65" s="82"/>
      <c r="N65" s="81"/>
      <c r="O65" s="83"/>
      <c r="P65" s="83"/>
      <c r="Q65" s="84"/>
      <c r="R65" s="84"/>
      <c r="S65" s="84"/>
      <c r="T65" s="85"/>
    </row>
    <row r="66" customFormat="false" ht="15" hidden="false" customHeight="false" outlineLevel="0" collapsed="false">
      <c r="B66" s="79"/>
      <c r="C66" s="79"/>
      <c r="D66" s="79"/>
      <c r="E66" s="76"/>
      <c r="F66" s="80"/>
      <c r="G66" s="80"/>
      <c r="H66" s="81"/>
      <c r="I66" s="81"/>
      <c r="J66" s="81"/>
      <c r="K66" s="81"/>
      <c r="L66" s="82"/>
      <c r="M66" s="82"/>
      <c r="N66" s="81"/>
      <c r="O66" s="83"/>
      <c r="P66" s="83"/>
      <c r="Q66" s="84"/>
      <c r="R66" s="84"/>
      <c r="S66" s="84"/>
      <c r="T66" s="85"/>
    </row>
    <row r="67" customFormat="false" ht="15" hidden="false" customHeight="false" outlineLevel="0" collapsed="false">
      <c r="B67" s="79"/>
      <c r="C67" s="79"/>
      <c r="D67" s="79"/>
      <c r="E67" s="76"/>
      <c r="F67" s="80"/>
      <c r="G67" s="80"/>
      <c r="H67" s="81"/>
      <c r="I67" s="81"/>
      <c r="J67" s="81"/>
      <c r="K67" s="81"/>
      <c r="L67" s="82"/>
      <c r="M67" s="82"/>
      <c r="N67" s="81"/>
      <c r="O67" s="83"/>
      <c r="P67" s="83"/>
      <c r="Q67" s="84"/>
      <c r="R67" s="84"/>
      <c r="S67" s="84"/>
      <c r="T67" s="85"/>
    </row>
    <row r="68" customFormat="false" ht="15" hidden="false" customHeight="false" outlineLevel="0" collapsed="false">
      <c r="B68" s="79"/>
      <c r="C68" s="79"/>
      <c r="D68" s="79"/>
      <c r="E68" s="76"/>
      <c r="F68" s="80"/>
      <c r="G68" s="80"/>
      <c r="H68" s="81"/>
      <c r="I68" s="81"/>
      <c r="J68" s="81"/>
      <c r="K68" s="81"/>
      <c r="L68" s="82"/>
      <c r="M68" s="82"/>
      <c r="N68" s="81"/>
      <c r="O68" s="83"/>
      <c r="P68" s="83"/>
      <c r="Q68" s="84"/>
      <c r="R68" s="84"/>
      <c r="S68" s="84"/>
      <c r="T68" s="8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314</v>
      </c>
    </row>
    <row r="2" customFormat="false" ht="15" hidden="false" customHeight="false" outlineLevel="0" collapsed="false">
      <c r="A2" s="8" t="s">
        <v>315</v>
      </c>
    </row>
    <row r="4" customFormat="false" ht="15" hidden="false" customHeight="false" outlineLevel="0" collapsed="false">
      <c r="B4" s="9" t="s">
        <v>316</v>
      </c>
      <c r="C4" s="9" t="s">
        <v>96</v>
      </c>
      <c r="D4" s="9" t="s">
        <v>317</v>
      </c>
      <c r="E4" s="9" t="s">
        <v>200</v>
      </c>
    </row>
    <row r="5" customFormat="false" ht="15" hidden="false" customHeight="false" outlineLevel="0" collapsed="false">
      <c r="B5" s="67" t="s">
        <v>318</v>
      </c>
      <c r="C5" s="86" t="s">
        <v>319</v>
      </c>
      <c r="D5" s="87" t="s">
        <v>320</v>
      </c>
      <c r="E5" s="8" t="s">
        <v>321</v>
      </c>
    </row>
    <row r="6" customFormat="false" ht="15" hidden="false" customHeight="false" outlineLevel="0" collapsed="false">
      <c r="B6" s="67" t="s">
        <v>322</v>
      </c>
      <c r="C6" s="86"/>
      <c r="D6" s="87" t="s">
        <v>323</v>
      </c>
      <c r="E6" s="8"/>
    </row>
    <row r="7" customFormat="false" ht="15" hidden="false" customHeight="false" outlineLevel="0" collapsed="false">
      <c r="B7" s="67" t="s">
        <v>324</v>
      </c>
      <c r="C7" s="75"/>
      <c r="D7" s="87" t="s">
        <v>325</v>
      </c>
      <c r="E7" s="8" t="s">
        <v>326</v>
      </c>
    </row>
    <row r="8" customFormat="false" ht="15" hidden="false" customHeight="false" outlineLevel="0" collapsed="false">
      <c r="B8" s="67" t="s">
        <v>327</v>
      </c>
      <c r="C8" s="25" t="n">
        <f aca="false">MAX(1,N(ProjectStartDate))</f>
        <v>1</v>
      </c>
      <c r="D8" s="87" t="s">
        <v>328</v>
      </c>
      <c r="E8" s="8" t="s">
        <v>329</v>
      </c>
    </row>
    <row r="9" customFormat="false" ht="15" hidden="false" customHeight="false" outlineLevel="0" collapsed="false">
      <c r="B9" s="67" t="s">
        <v>330</v>
      </c>
      <c r="C9" s="75"/>
      <c r="D9" s="87" t="s">
        <v>331</v>
      </c>
      <c r="E9" s="8" t="s">
        <v>332</v>
      </c>
    </row>
    <row r="10" customFormat="false" ht="15" hidden="false" customHeight="false" outlineLevel="0" collapsed="false">
      <c r="B10" s="67" t="s">
        <v>333</v>
      </c>
      <c r="C10" s="25" t="n">
        <f aca="false">IF(N(StatusDateInput)&gt;0,StatusDateInput,ProjectStart)</f>
        <v>1</v>
      </c>
      <c r="D10" s="87" t="s">
        <v>334</v>
      </c>
      <c r="E10" s="8" t="s">
        <v>335</v>
      </c>
    </row>
    <row r="11" customFormat="false" ht="15" hidden="false" customHeight="false" outlineLevel="0" collapsed="false">
      <c r="B11" s="67" t="s">
        <v>336</v>
      </c>
      <c r="C11" s="25" t="n">
        <f aca="false">WORKDAY.INTL(StatusDate-1,1,WorkWeek,Holidays)</f>
        <v>2</v>
      </c>
      <c r="D11" s="87" t="s">
        <v>337</v>
      </c>
      <c r="E11" s="8"/>
    </row>
    <row r="12" customFormat="false" ht="15" hidden="false" customHeight="false" outlineLevel="0" collapsed="false">
      <c r="B12" s="67" t="s">
        <v>338</v>
      </c>
      <c r="C12" s="86" t="s">
        <v>339</v>
      </c>
      <c r="D12" s="87" t="s">
        <v>340</v>
      </c>
      <c r="E12" s="8" t="s">
        <v>341</v>
      </c>
    </row>
    <row r="13" customFormat="false" ht="15" hidden="false" customHeight="false" outlineLevel="0" collapsed="false">
      <c r="B13" s="67" t="s">
        <v>342</v>
      </c>
      <c r="C13" s="88" t="n">
        <v>8</v>
      </c>
      <c r="D13" s="87" t="s">
        <v>343</v>
      </c>
      <c r="E13" s="8" t="s">
        <v>344</v>
      </c>
    </row>
    <row r="14" customFormat="false" ht="15" hidden="false" customHeight="false" outlineLevel="0" collapsed="false">
      <c r="B14" s="67" t="s">
        <v>345</v>
      </c>
      <c r="C14" s="89" t="n">
        <v>1</v>
      </c>
      <c r="D14" s="87" t="s">
        <v>346</v>
      </c>
      <c r="E14" s="8" t="s">
        <v>347</v>
      </c>
    </row>
    <row r="15" customFormat="false" ht="15" hidden="false" customHeight="false" outlineLevel="0" collapsed="false">
      <c r="B15" s="67" t="s">
        <v>348</v>
      </c>
      <c r="C15" s="86" t="s">
        <v>339</v>
      </c>
      <c r="D15" s="87" t="s">
        <v>349</v>
      </c>
      <c r="E15" s="8" t="s">
        <v>350</v>
      </c>
    </row>
    <row r="16" customFormat="false" ht="15" hidden="false" customHeight="false" outlineLevel="0" collapsed="false">
      <c r="B16" s="67" t="s">
        <v>351</v>
      </c>
      <c r="C16" s="86" t="s">
        <v>339</v>
      </c>
      <c r="D16" s="87" t="s">
        <v>352</v>
      </c>
      <c r="E16" s="8"/>
    </row>
    <row r="17" customFormat="false" ht="15" hidden="false" customHeight="false" outlineLevel="0" collapsed="false">
      <c r="B17" s="67" t="s">
        <v>353</v>
      </c>
      <c r="C17" s="86" t="s">
        <v>339</v>
      </c>
      <c r="D17" s="87" t="s">
        <v>354</v>
      </c>
      <c r="E17" s="8"/>
    </row>
    <row r="18" customFormat="false" ht="15" hidden="false" customHeight="false" outlineLevel="0" collapsed="false">
      <c r="B18" s="67" t="s">
        <v>355</v>
      </c>
      <c r="C18" s="86" t="s">
        <v>339</v>
      </c>
      <c r="D18" s="87" t="s">
        <v>356</v>
      </c>
      <c r="E18" s="8"/>
    </row>
    <row r="19" customFormat="false" ht="15" hidden="false" customHeight="false" outlineLevel="0" collapsed="false">
      <c r="B19" s="67" t="s">
        <v>357</v>
      </c>
      <c r="C19" s="86" t="s">
        <v>339</v>
      </c>
      <c r="D19" s="87" t="s">
        <v>358</v>
      </c>
      <c r="E19" s="8"/>
    </row>
    <row r="20" customFormat="false" ht="15" hidden="false" customHeight="false" outlineLevel="0" collapsed="false">
      <c r="B20" s="67" t="s">
        <v>359</v>
      </c>
      <c r="C20" s="86" t="s">
        <v>360</v>
      </c>
      <c r="D20" s="87" t="s">
        <v>361</v>
      </c>
      <c r="E20" s="8"/>
    </row>
    <row r="21" customFormat="false" ht="15" hidden="false" customHeight="false" outlineLevel="0" collapsed="false">
      <c r="B21" s="67" t="s">
        <v>362</v>
      </c>
      <c r="C21" s="86" t="s">
        <v>360</v>
      </c>
      <c r="D21" s="87" t="s">
        <v>363</v>
      </c>
      <c r="E21" s="8"/>
    </row>
    <row r="22" customFormat="false" ht="15" hidden="false" customHeight="false" outlineLevel="0" collapsed="false">
      <c r="B22" s="67" t="s">
        <v>364</v>
      </c>
      <c r="C22" s="90" t="str">
        <f aca="false">IF(WorkMon="Yes","0","1")&amp;IF(WorkTue="Yes","0","1")&amp;IF(WorkWed="Yes","0","1")&amp;IF(WorkThu="Yes","0","1")&amp;IF(WorkFri="Yes","0","1")&amp;IF(WorkSat="Yes","0","1")&amp;IF(WorkSun="Yes","0","1")</f>
        <v>0000011</v>
      </c>
      <c r="D22" s="87" t="s">
        <v>365</v>
      </c>
      <c r="E22" s="8" t="s">
        <v>366</v>
      </c>
    </row>
    <row r="23" customFormat="false" ht="15" hidden="false" customHeight="false" outlineLevel="0" collapsed="false">
      <c r="B23" s="67" t="s">
        <v>367</v>
      </c>
      <c r="C23" s="75" t="n">
        <f aca="false">ProjectStart-WEEKDAY(ProjectStart,3)</f>
        <v>-5</v>
      </c>
      <c r="D23" s="87" t="s">
        <v>368</v>
      </c>
      <c r="E23" s="8" t="s">
        <v>369</v>
      </c>
    </row>
    <row r="24" customFormat="false" ht="15" hidden="false" customHeight="false" outlineLevel="0" collapsed="false">
      <c r="B24" s="67" t="s">
        <v>370</v>
      </c>
      <c r="C24" s="91" t="n">
        <v>1</v>
      </c>
      <c r="D24" s="87" t="s">
        <v>371</v>
      </c>
      <c r="E24" s="8" t="s">
        <v>372</v>
      </c>
    </row>
    <row r="25" customFormat="false" ht="15" hidden="false" customHeight="false" outlineLevel="0" collapsed="false">
      <c r="B25" s="67" t="s">
        <v>373</v>
      </c>
      <c r="C25" s="75" t="n">
        <f aca="false">ProjectStart</f>
        <v>1</v>
      </c>
      <c r="D25" s="87" t="s">
        <v>374</v>
      </c>
      <c r="E25" s="8" t="s">
        <v>375</v>
      </c>
    </row>
    <row r="26" customFormat="false" ht="15" hidden="false" customHeight="false" outlineLevel="0" collapsed="false">
      <c r="B26" s="67" t="s">
        <v>376</v>
      </c>
      <c r="C26" s="91" t="n">
        <v>14</v>
      </c>
      <c r="D26" s="87" t="s">
        <v>377</v>
      </c>
      <c r="E26" s="8" t="s">
        <v>378</v>
      </c>
    </row>
    <row r="27" customFormat="false" ht="15" hidden="false" customHeight="false" outlineLevel="0" collapsed="false">
      <c r="B27" s="67" t="s">
        <v>379</v>
      </c>
      <c r="C27" s="91" t="n">
        <v>12</v>
      </c>
      <c r="D27" s="87" t="s">
        <v>380</v>
      </c>
      <c r="E27" s="8" t="s">
        <v>381</v>
      </c>
    </row>
    <row r="28" customFormat="false" ht="15" hidden="false" customHeight="false" outlineLevel="0" collapsed="false">
      <c r="B28" s="67" t="s">
        <v>382</v>
      </c>
      <c r="C28" s="86" t="s">
        <v>383</v>
      </c>
      <c r="D28" s="87" t="s">
        <v>384</v>
      </c>
      <c r="E28" s="8" t="s">
        <v>385</v>
      </c>
    </row>
    <row r="29" customFormat="false" ht="15" hidden="false" customHeight="false" outlineLevel="0" collapsed="false">
      <c r="B29" s="67" t="s">
        <v>386</v>
      </c>
      <c r="C29" s="25" t="n">
        <f aca="false">INDEX(spr_End,SprintCount)</f>
        <v>168</v>
      </c>
      <c r="D29" s="87" t="s">
        <v>387</v>
      </c>
      <c r="E29" s="8"/>
    </row>
    <row r="30" customFormat="false" ht="15" hidden="false" customHeight="false" outlineLevel="0" collapsed="false">
      <c r="B30" s="67" t="s">
        <v>388</v>
      </c>
      <c r="C30" s="90" t="str">
        <f aca="false">IF(OR(StatusDate&lt;Sprint1Start,StatusDate&gt;SprintLastEnd),"",INDEX(spr_Name,MATCH(StatusDate,spr_Start,1)))</f>
        <v>Sprint 1</v>
      </c>
      <c r="D30" s="87" t="s">
        <v>389</v>
      </c>
      <c r="E30" s="8" t="s">
        <v>390</v>
      </c>
    </row>
    <row r="31" customFormat="false" ht="15" hidden="false" customHeight="false" outlineLevel="0" collapsed="false">
      <c r="B31" s="67" t="s">
        <v>391</v>
      </c>
      <c r="C31" s="25" t="n">
        <f aca="false">IF(CurrentSprint="","",INDEX(spr_Start,MATCH(CurrentSprint,spr_Name,0)))</f>
        <v>1</v>
      </c>
      <c r="D31" s="87" t="s">
        <v>392</v>
      </c>
      <c r="E31" s="8"/>
    </row>
    <row r="32" customFormat="false" ht="15" hidden="false" customHeight="false" outlineLevel="0" collapsed="false">
      <c r="B32" s="67" t="s">
        <v>393</v>
      </c>
      <c r="C32" s="25" t="n">
        <f aca="false">IF(CurrentSprint="","",INDEX(spr_End,MATCH(CurrentSprint,spr_Name,0)))</f>
        <v>14</v>
      </c>
      <c r="D32" s="87" t="s">
        <v>394</v>
      </c>
      <c r="E32" s="8"/>
    </row>
    <row r="33" customFormat="false" ht="15" hidden="false" customHeight="false" outlineLevel="0" collapsed="false">
      <c r="B33" s="67" t="s">
        <v>395</v>
      </c>
      <c r="C33" s="73" t="n">
        <f aca="false">SUM(tsk_LeafPoints)</f>
        <v>0</v>
      </c>
      <c r="D33" s="87" t="s">
        <v>396</v>
      </c>
      <c r="E33" s="8" t="s">
        <v>397</v>
      </c>
    </row>
    <row r="34" customFormat="false" ht="15" hidden="false" customHeight="false" outlineLevel="0" collapsed="false">
      <c r="B34" s="67" t="s">
        <v>398</v>
      </c>
      <c r="C34" s="91" t="n">
        <v>0</v>
      </c>
      <c r="D34" s="87" t="s">
        <v>399</v>
      </c>
      <c r="E34" s="8" t="s">
        <v>400</v>
      </c>
    </row>
    <row r="35" customFormat="false" ht="15" hidden="false" customHeight="false" outlineLevel="0" collapsed="false">
      <c r="B35" s="67" t="s">
        <v>401</v>
      </c>
      <c r="C35" s="25" t="n">
        <f aca="false">MAX(tsk_LeafFcstFinish)</f>
        <v>0</v>
      </c>
      <c r="D35" s="87" t="s">
        <v>402</v>
      </c>
      <c r="E35" s="8" t="s">
        <v>403</v>
      </c>
    </row>
    <row r="36" customFormat="false" ht="15" hidden="false" customHeight="false" outlineLevel="0" collapsed="false">
      <c r="B36" s="67" t="s">
        <v>404</v>
      </c>
      <c r="C36" s="25" t="n">
        <f aca="false">MAX(tsk_PlanFinish)</f>
        <v>0</v>
      </c>
      <c r="D36" s="87" t="s">
        <v>405</v>
      </c>
      <c r="E36" s="8" t="s">
        <v>406</v>
      </c>
    </row>
    <row r="37" customFormat="false" ht="15" hidden="false" customHeight="false" outlineLevel="0" collapsed="false">
      <c r="B37" s="67" t="s">
        <v>407</v>
      </c>
      <c r="C37" s="92" t="n">
        <f aca="false">IF(ProjectFinish&gt;=PlannedFinish,NETWORKDAYS.INTL(PlannedFinish,ProjectFinish,WorkWeek,Holidays)-1,1-NETWORKDAYS.INTL(ProjectFinish,PlannedFinish,WorkWeek,Holidays))</f>
        <v>-1</v>
      </c>
      <c r="D37" s="87" t="s">
        <v>408</v>
      </c>
      <c r="E37" s="8" t="s">
        <v>409</v>
      </c>
    </row>
    <row r="38" customFormat="false" ht="15" hidden="false" customHeight="false" outlineLevel="0" collapsed="false">
      <c r="B38" s="67" t="s">
        <v>410</v>
      </c>
      <c r="C38" s="91" t="n">
        <v>10</v>
      </c>
      <c r="D38" s="87" t="s">
        <v>411</v>
      </c>
      <c r="E38" s="8" t="s">
        <v>412</v>
      </c>
    </row>
    <row r="39" customFormat="false" ht="15" hidden="false" customHeight="false" outlineLevel="0" collapsed="false">
      <c r="B39" s="67" t="s">
        <v>413</v>
      </c>
      <c r="C39" s="25" t="n">
        <f aca="false">WORKDAY.INTL(StatusDate-1,LookaheadDays,WorkWeek,Holidays)</f>
        <v>13</v>
      </c>
      <c r="D39" s="87" t="s">
        <v>414</v>
      </c>
      <c r="E39" s="8"/>
    </row>
    <row r="40" customFormat="false" ht="15" hidden="false" customHeight="false" outlineLevel="0" collapsed="false">
      <c r="B40" s="67" t="s">
        <v>415</v>
      </c>
      <c r="C40" s="91" t="n">
        <v>3</v>
      </c>
      <c r="D40" s="87" t="s">
        <v>416</v>
      </c>
      <c r="E40" s="8" t="s">
        <v>417</v>
      </c>
    </row>
    <row r="41" customFormat="false" ht="15" hidden="false" customHeight="false" outlineLevel="0" collapsed="false">
      <c r="B41" s="67" t="s">
        <v>418</v>
      </c>
      <c r="C41" s="91" t="n">
        <v>10</v>
      </c>
      <c r="D41" s="87" t="s">
        <v>419</v>
      </c>
      <c r="E41" s="8"/>
    </row>
    <row r="42" customFormat="false" ht="15" hidden="false" customHeight="false" outlineLevel="0" collapsed="false">
      <c r="B42" s="67" t="s">
        <v>420</v>
      </c>
      <c r="C42" s="93" t="n">
        <v>0.95</v>
      </c>
      <c r="D42" s="87" t="s">
        <v>421</v>
      </c>
      <c r="E42" s="8" t="s">
        <v>422</v>
      </c>
    </row>
    <row r="43" customFormat="false" ht="15" hidden="false" customHeight="false" outlineLevel="0" collapsed="false">
      <c r="B43" s="67" t="s">
        <v>423</v>
      </c>
      <c r="C43" s="93" t="n">
        <v>0.85</v>
      </c>
      <c r="D43" s="87" t="s">
        <v>424</v>
      </c>
      <c r="E43" s="8"/>
    </row>
    <row r="44" customFormat="false" ht="15" hidden="false" customHeight="false" outlineLevel="0" collapsed="false">
      <c r="B44" s="67" t="s">
        <v>425</v>
      </c>
      <c r="C44" s="91" t="n">
        <v>15</v>
      </c>
      <c r="D44" s="87" t="s">
        <v>426</v>
      </c>
      <c r="E44" s="8" t="s">
        <v>427</v>
      </c>
    </row>
    <row r="45" customFormat="false" ht="15" hidden="false" customHeight="false" outlineLevel="0" collapsed="false">
      <c r="B45" s="67" t="s">
        <v>428</v>
      </c>
      <c r="C45" s="91" t="n">
        <v>8</v>
      </c>
      <c r="D45" s="87" t="s">
        <v>429</v>
      </c>
      <c r="E45" s="8"/>
    </row>
    <row r="46" customFormat="false" ht="15" hidden="false" customHeight="false" outlineLevel="0" collapsed="false">
      <c r="B46" s="67" t="s">
        <v>430</v>
      </c>
      <c r="C46" s="75" t="n">
        <f aca="false">MAX(2,StatusDate-WEEKDAY(StatusDate,3)-14)</f>
        <v>2</v>
      </c>
      <c r="D46" s="87" t="s">
        <v>431</v>
      </c>
      <c r="E46" s="8" t="s">
        <v>432</v>
      </c>
    </row>
    <row r="47" customFormat="false" ht="15" hidden="false" customHeight="false" outlineLevel="0" collapsed="false">
      <c r="B47" s="67" t="s">
        <v>433</v>
      </c>
      <c r="C47" s="94" t="n">
        <f aca="false">MAX(tsk_UID)+1</f>
        <v>201</v>
      </c>
      <c r="D47" s="87" t="s">
        <v>434</v>
      </c>
      <c r="E47" s="8" t="s">
        <v>435</v>
      </c>
    </row>
  </sheetData>
  <conditionalFormatting sqref="C7">
    <cfRule type="expression" priority="2" aboveAverage="0" equalAverage="0" bottom="0" percent="0" rank="0" text="" dxfId="28">
      <formula>N(C7)=0</formula>
    </cfRule>
  </conditionalFormatting>
  <conditionalFormatting sqref="C9">
    <cfRule type="expression" priority="3" aboveAverage="0" equalAverage="0" bottom="0" percent="0" rank="0" text="" dxfId="28">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U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14" min="14" style="0" width="7"/>
    <col collapsed="false" customWidth="true" hidden="false" outlineLevel="0" max="16" min="15" style="0" width="6"/>
    <col collapsed="false" customWidth="true" hidden="false" outlineLevel="0" max="17" min="17" style="0" width="7"/>
    <col collapsed="false" customWidth="true" hidden="false" outlineLevel="0" max="19" min="18" style="0" width="6"/>
    <col collapsed="false" customWidth="true" hidden="false" outlineLevel="0" max="20" min="20" style="0" width="20"/>
    <col collapsed="false" customWidth="true" hidden="false" outlineLevel="0" max="28" min="21" style="0" width="15"/>
    <col collapsed="false" customWidth="true" hidden="false" outlineLevel="0" max="30" min="29" style="0" width="8"/>
    <col collapsed="false" customWidth="true" hidden="false" outlineLevel="0" max="32" min="31" style="0" width="15"/>
    <col collapsed="false" customWidth="true" hidden="false" outlineLevel="0" max="35" min="33" style="0" width="8"/>
    <col collapsed="false" customWidth="true" hidden="false" outlineLevel="0" max="36" min="36" style="0" width="12"/>
    <col collapsed="false" customWidth="true" hidden="false" outlineLevel="0" max="37" min="37" style="0" width="24"/>
    <col collapsed="false" customWidth="true" hidden="false" outlineLevel="0" max="39" min="38" style="0" width="9"/>
    <col collapsed="false" customWidth="true" hidden="false" outlineLevel="0" max="40" min="40" style="0" width="12"/>
    <col collapsed="false" customWidth="true" hidden="false" outlineLevel="0" max="41" min="41" style="0" width="16"/>
    <col collapsed="false" customWidth="true" hidden="false" outlineLevel="0" max="42" min="42" style="0" width="7"/>
    <col collapsed="false" customWidth="true" hidden="false" outlineLevel="0" max="43" min="43" style="0" width="22"/>
    <col collapsed="false" customWidth="true" hidden="false" outlineLevel="0" max="45" min="44" style="0" width="9"/>
    <col collapsed="false" customWidth="true" hidden="false" outlineLevel="0" max="48" min="46" style="0" width="11"/>
    <col collapsed="false" customWidth="true" hidden="false" outlineLevel="0" max="49" min="49" style="0" width="10"/>
    <col collapsed="false" customWidth="true" hidden="false" outlineLevel="0" max="50" min="50" style="0" width="8"/>
    <col collapsed="false" customWidth="true" hidden="false" outlineLevel="0" max="51" min="51" style="0" width="14"/>
    <col collapsed="false" customWidth="true" hidden="false" outlineLevel="0" max="52" min="52" style="0" width="40"/>
    <col collapsed="false" customWidth="true" hidden="false" outlineLevel="0" max="54" min="53" style="0" width="15"/>
    <col collapsed="false" customWidth="true" hidden="false" outlineLevel="0" max="56" min="55" style="0" width="9"/>
    <col collapsed="false" customWidth="true" hidden="false" outlineLevel="0" max="57" min="57" style="0" width="11"/>
    <col collapsed="false" customWidth="true" hidden="false" outlineLevel="0" max="59" min="58" style="0" width="15"/>
    <col collapsed="false" customWidth="true" hidden="false" outlineLevel="0" max="61" min="60" style="0" width="9"/>
    <col collapsed="false" customWidth="true" hidden="false" outlineLevel="0" max="62" min="62" style="0" width="11"/>
    <col collapsed="false" customWidth="true" hidden="false" outlineLevel="0" max="64" min="63" style="0" width="9"/>
    <col collapsed="false" customWidth="true" hidden="false" outlineLevel="0" max="69" min="65" style="0" width="11"/>
    <col collapsed="false" customWidth="true" hidden="true" outlineLevel="1" max="151" min="70"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436</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437</v>
      </c>
      <c r="F4" s="36" t="s">
        <v>438</v>
      </c>
      <c r="W4" s="36" t="s">
        <v>439</v>
      </c>
      <c r="AC4" s="36" t="s">
        <v>440</v>
      </c>
      <c r="AE4" s="36" t="s">
        <v>441</v>
      </c>
      <c r="AJ4" s="36" t="s">
        <v>442</v>
      </c>
      <c r="AL4" s="36" t="s">
        <v>443</v>
      </c>
      <c r="AO4" s="36" t="s">
        <v>444</v>
      </c>
      <c r="BA4" s="36" t="s">
        <v>445</v>
      </c>
      <c r="BK4" s="36" t="s">
        <v>446</v>
      </c>
      <c r="BN4" s="36" t="s">
        <v>447</v>
      </c>
      <c r="BR4" s="36" t="s">
        <v>448</v>
      </c>
    </row>
    <row r="5" customFormat="false" ht="42" hidden="false" customHeight="true" outlineLevel="0" collapsed="false">
      <c r="A5" s="9" t="s">
        <v>449</v>
      </c>
      <c r="B5" s="27" t="s">
        <v>450</v>
      </c>
      <c r="C5" s="9" t="s">
        <v>207</v>
      </c>
      <c r="D5" s="27" t="s">
        <v>451</v>
      </c>
      <c r="E5" s="27" t="s">
        <v>452</v>
      </c>
      <c r="F5" s="27" t="s">
        <v>57</v>
      </c>
      <c r="G5" s="27" t="s">
        <v>228</v>
      </c>
      <c r="H5" s="27" t="s">
        <v>453</v>
      </c>
      <c r="I5" s="27" t="s">
        <v>454</v>
      </c>
      <c r="J5" s="27" t="s">
        <v>455</v>
      </c>
      <c r="K5" s="27" t="s">
        <v>456</v>
      </c>
      <c r="L5" s="27" t="s">
        <v>457</v>
      </c>
      <c r="M5" s="27" t="s">
        <v>458</v>
      </c>
      <c r="N5" s="27" t="s">
        <v>459</v>
      </c>
      <c r="O5" s="27" t="s">
        <v>460</v>
      </c>
      <c r="P5" s="27" t="s">
        <v>461</v>
      </c>
      <c r="Q5" s="27" t="s">
        <v>462</v>
      </c>
      <c r="R5" s="27" t="s">
        <v>463</v>
      </c>
      <c r="S5" s="27" t="s">
        <v>464</v>
      </c>
      <c r="T5" s="27" t="s">
        <v>465</v>
      </c>
      <c r="U5" s="27" t="s">
        <v>466</v>
      </c>
      <c r="V5" s="27" t="s">
        <v>223</v>
      </c>
      <c r="W5" s="9" t="s">
        <v>467</v>
      </c>
      <c r="X5" s="9" t="s">
        <v>209</v>
      </c>
      <c r="Y5" s="27" t="s">
        <v>468</v>
      </c>
      <c r="Z5" s="27" t="s">
        <v>469</v>
      </c>
      <c r="AA5" s="9" t="s">
        <v>227</v>
      </c>
      <c r="AB5" s="9" t="s">
        <v>210</v>
      </c>
      <c r="AC5" s="9" t="s">
        <v>470</v>
      </c>
      <c r="AD5" s="9" t="s">
        <v>211</v>
      </c>
      <c r="AE5" s="9" t="s">
        <v>106</v>
      </c>
      <c r="AF5" s="9" t="s">
        <v>471</v>
      </c>
      <c r="AG5" s="9" t="s">
        <v>229</v>
      </c>
      <c r="AH5" s="9" t="s">
        <v>472</v>
      </c>
      <c r="AI5" s="9" t="s">
        <v>226</v>
      </c>
      <c r="AJ5" s="9" t="s">
        <v>224</v>
      </c>
      <c r="AK5" s="9" t="s">
        <v>473</v>
      </c>
      <c r="AL5" s="27" t="s">
        <v>474</v>
      </c>
      <c r="AM5" s="9" t="s">
        <v>212</v>
      </c>
      <c r="AN5" s="9" t="s">
        <v>97</v>
      </c>
      <c r="AO5" s="27" t="s">
        <v>225</v>
      </c>
      <c r="AP5" s="27" t="s">
        <v>475</v>
      </c>
      <c r="AQ5" s="9" t="s">
        <v>476</v>
      </c>
      <c r="AR5" s="9" t="s">
        <v>477</v>
      </c>
      <c r="AS5" s="9" t="s">
        <v>233</v>
      </c>
      <c r="AT5" s="9" t="s">
        <v>236</v>
      </c>
      <c r="AU5" s="27" t="s">
        <v>237</v>
      </c>
      <c r="AV5" s="27" t="s">
        <v>478</v>
      </c>
      <c r="AW5" s="9" t="s">
        <v>479</v>
      </c>
      <c r="AX5" s="27" t="s">
        <v>265</v>
      </c>
      <c r="AY5" s="9" t="s">
        <v>55</v>
      </c>
      <c r="AZ5" s="27" t="s">
        <v>200</v>
      </c>
      <c r="BA5" s="9" t="s">
        <v>480</v>
      </c>
      <c r="BB5" s="9" t="s">
        <v>481</v>
      </c>
      <c r="BC5" s="9" t="s">
        <v>482</v>
      </c>
      <c r="BD5" s="9" t="s">
        <v>483</v>
      </c>
      <c r="BE5" s="9" t="s">
        <v>484</v>
      </c>
      <c r="BF5" s="27" t="s">
        <v>485</v>
      </c>
      <c r="BG5" s="27" t="s">
        <v>486</v>
      </c>
      <c r="BH5" s="27" t="s">
        <v>487</v>
      </c>
      <c r="BI5" s="27" t="s">
        <v>488</v>
      </c>
      <c r="BJ5" s="27" t="s">
        <v>489</v>
      </c>
      <c r="BK5" s="9" t="s">
        <v>490</v>
      </c>
      <c r="BL5" s="9" t="s">
        <v>491</v>
      </c>
      <c r="BM5" s="9" t="s">
        <v>492</v>
      </c>
      <c r="BN5" s="9" t="s">
        <v>213</v>
      </c>
      <c r="BO5" s="9" t="s">
        <v>214</v>
      </c>
      <c r="BP5" s="9" t="s">
        <v>215</v>
      </c>
      <c r="BQ5" s="9" t="s">
        <v>216</v>
      </c>
      <c r="BR5" s="40" t="s">
        <v>493</v>
      </c>
      <c r="BS5" s="40" t="s">
        <v>494</v>
      </c>
      <c r="BT5" s="40" t="s">
        <v>495</v>
      </c>
      <c r="BU5" s="40" t="s">
        <v>496</v>
      </c>
      <c r="BV5" s="40" t="s">
        <v>497</v>
      </c>
      <c r="BW5" s="40" t="s">
        <v>498</v>
      </c>
      <c r="BX5" s="40" t="s">
        <v>499</v>
      </c>
      <c r="BY5" s="40" t="s">
        <v>500</v>
      </c>
      <c r="BZ5" s="40" t="s">
        <v>501</v>
      </c>
      <c r="CA5" s="40" t="s">
        <v>502</v>
      </c>
      <c r="CB5" s="40" t="s">
        <v>503</v>
      </c>
      <c r="CC5" s="40" t="s">
        <v>504</v>
      </c>
      <c r="CD5" s="40" t="s">
        <v>505</v>
      </c>
      <c r="CE5" s="40" t="s">
        <v>506</v>
      </c>
      <c r="CF5" s="40" t="s">
        <v>507</v>
      </c>
      <c r="CG5" s="40" t="s">
        <v>508</v>
      </c>
      <c r="CH5" s="40" t="s">
        <v>509</v>
      </c>
      <c r="CI5" s="40" t="s">
        <v>510</v>
      </c>
      <c r="CJ5" s="40" t="s">
        <v>511</v>
      </c>
      <c r="CK5" s="40" t="s">
        <v>512</v>
      </c>
      <c r="CL5" s="40" t="s">
        <v>513</v>
      </c>
      <c r="CM5" s="40" t="s">
        <v>514</v>
      </c>
      <c r="CN5" s="40" t="s">
        <v>515</v>
      </c>
      <c r="CO5" s="40" t="s">
        <v>516</v>
      </c>
      <c r="CP5" s="40" t="s">
        <v>517</v>
      </c>
      <c r="CQ5" s="40" t="s">
        <v>518</v>
      </c>
      <c r="CR5" s="40" t="s">
        <v>519</v>
      </c>
      <c r="CS5" s="40" t="s">
        <v>520</v>
      </c>
      <c r="CT5" s="40" t="s">
        <v>521</v>
      </c>
      <c r="CU5" s="40" t="s">
        <v>522</v>
      </c>
      <c r="CV5" s="40" t="s">
        <v>523</v>
      </c>
      <c r="CW5" s="40" t="s">
        <v>524</v>
      </c>
      <c r="CX5" s="40" t="s">
        <v>525</v>
      </c>
      <c r="CY5" s="40" t="s">
        <v>526</v>
      </c>
      <c r="CZ5" s="40" t="s">
        <v>527</v>
      </c>
      <c r="DA5" s="40" t="s">
        <v>528</v>
      </c>
      <c r="DB5" s="40" t="s">
        <v>529</v>
      </c>
      <c r="DC5" s="40" t="s">
        <v>530</v>
      </c>
      <c r="DD5" s="40" t="s">
        <v>531</v>
      </c>
      <c r="DE5" s="40" t="s">
        <v>532</v>
      </c>
      <c r="DF5" s="40" t="s">
        <v>533</v>
      </c>
      <c r="DG5" s="40" t="s">
        <v>534</v>
      </c>
      <c r="DH5" s="40" t="s">
        <v>535</v>
      </c>
      <c r="DI5" s="40" t="s">
        <v>536</v>
      </c>
      <c r="DJ5" s="40" t="s">
        <v>537</v>
      </c>
      <c r="DK5" s="40" t="s">
        <v>538</v>
      </c>
      <c r="DL5" s="40" t="s">
        <v>539</v>
      </c>
      <c r="DM5" s="40" t="s">
        <v>540</v>
      </c>
      <c r="DN5" s="40" t="s">
        <v>541</v>
      </c>
      <c r="DO5" s="40" t="s">
        <v>542</v>
      </c>
      <c r="DP5" s="40" t="s">
        <v>543</v>
      </c>
      <c r="DQ5" s="40" t="s">
        <v>544</v>
      </c>
      <c r="DR5" s="40" t="s">
        <v>545</v>
      </c>
      <c r="DS5" s="40" t="s">
        <v>546</v>
      </c>
      <c r="DT5" s="40" t="s">
        <v>547</v>
      </c>
      <c r="DU5" s="40" t="s">
        <v>548</v>
      </c>
      <c r="DV5" s="40" t="s">
        <v>549</v>
      </c>
      <c r="DW5" s="40" t="s">
        <v>550</v>
      </c>
      <c r="DX5" s="40" t="s">
        <v>551</v>
      </c>
      <c r="DY5" s="40" t="s">
        <v>552</v>
      </c>
      <c r="DZ5" s="40" t="s">
        <v>553</v>
      </c>
      <c r="EA5" s="40" t="s">
        <v>554</v>
      </c>
      <c r="EB5" s="40" t="s">
        <v>555</v>
      </c>
      <c r="EC5" s="40" t="s">
        <v>556</v>
      </c>
      <c r="ED5" s="40" t="s">
        <v>557</v>
      </c>
      <c r="EE5" s="40" t="s">
        <v>558</v>
      </c>
      <c r="EF5" s="40" t="s">
        <v>559</v>
      </c>
      <c r="EG5" s="40" t="s">
        <v>560</v>
      </c>
      <c r="EH5" s="40" t="s">
        <v>561</v>
      </c>
      <c r="EI5" s="40" t="s">
        <v>562</v>
      </c>
      <c r="EJ5" s="40" t="s">
        <v>563</v>
      </c>
      <c r="EK5" s="40" t="s">
        <v>564</v>
      </c>
      <c r="EL5" s="40" t="s">
        <v>565</v>
      </c>
      <c r="EM5" s="40" t="s">
        <v>566</v>
      </c>
      <c r="EN5" s="40" t="s">
        <v>567</v>
      </c>
      <c r="EO5" s="40" t="s">
        <v>568</v>
      </c>
      <c r="EP5" s="40" t="s">
        <v>569</v>
      </c>
      <c r="EQ5" s="40" t="s">
        <v>570</v>
      </c>
      <c r="ER5" s="40" t="s">
        <v>571</v>
      </c>
      <c r="ES5" s="40" t="s">
        <v>572</v>
      </c>
      <c r="ET5" s="40" t="s">
        <v>573</v>
      </c>
      <c r="EU5" s="40" t="s">
        <v>574</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29"/>
      <c r="O6" s="29"/>
      <c r="P6" s="29"/>
      <c r="Q6" s="29"/>
      <c r="R6" s="29"/>
      <c r="S6" s="29"/>
      <c r="T6" s="30"/>
      <c r="U6" s="75"/>
      <c r="V6" s="75"/>
      <c r="W6" s="25" t="str">
        <f aca="false">IF(Tasks[[#This Row],[Task Name]]="","",IF(N(Tasks[[#This Row],[Baseline Start]])&gt;0,Tasks[[#This Row],[Baseline Start]],Tasks[[#This Row],[_CalcStart]]))</f>
        <v/>
      </c>
      <c r="X6" s="25" t="str">
        <f aca="false">IF(Tasks[[#This Row],[Task Name]]="","",IF(N(Tasks[[#This Row],[Baseline Finish]])&gt;0,Tasks[[#This Row],[Baseline Finish]],Tasks[[#This Row],[_CalcFinish]]))</f>
        <v/>
      </c>
      <c r="Y6" s="75"/>
      <c r="Z6" s="75"/>
      <c r="AA6" s="25" t="str">
        <f aca="false">IF(Tasks[[#This Row],[Task Name]]="","",IF(Tasks[[#This Row],[_IsSummary]],MIN(INDEX(Tasks[_ShownFcstStart],Tasks[[#This Row],[_Row]]+1):INDEX(Tasks[_ShownFcstStart],Tasks[[#This Row],[_Row]]+Tasks[[#This Row],[_Descendants]])),Tasks[[#This Row],[_ShownFcstStart]]))</f>
        <v/>
      </c>
      <c r="AB6" s="25" t="str">
        <f aca="false">IF(Tasks[[#This Row],[Task Name]]="","",IF(Tasks[[#This Row],[_IsSummary]],MAX(INDEX(Tasks[_ShownFcstFinish],Tasks[[#This Row],[_Row]]+1):INDEX(Tasks[_ShownFcstFinish],Tasks[[#This Row],[_Row]]+Tasks[[#This Row],[_Descendants]])),Tasks[[#This Row],[_ShownFcstFinish]]))</f>
        <v/>
      </c>
      <c r="AC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 s="25" t="str">
        <f aca="false">IF(Tasks[[#This Row],[Task Name]]="","",IF(Tasks[[#This Row],[_IsSummary]],MIN(INDEX(Tasks[_LeafLateStart],Tasks[[#This Row],[_Row]]+1):INDEX(Tasks[_LeafLateStart],Tasks[[#This Row],[_Row]]+Tasks[[#This Row],[_Descendants]])),Tasks[[#This Row],[_LeafLateStart]]))</f>
        <v/>
      </c>
      <c r="AF6" s="25" t="str">
        <f aca="false">IF(Tasks[[#This Row],[Task Name]]="","",IF(Tasks[[#This Row],[_IsSummary]],MAX(INDEX(Tasks[_LeafLateFinish],Tasks[[#This Row],[_Row]]+1):INDEX(Tasks[_LeafLateFinish],Tasks[[#This Row],[_Row]]+Tasks[[#This Row],[_Descendants]])),Tasks[[#This Row],[_LeafLateFinish]]))</f>
        <v/>
      </c>
      <c r="AG6" s="28" t="str">
        <f aca="false">IF(Tasks[[#This Row],[Task Name]]="","",IF(Tasks[[#This Row],[_IsSummary]],MIN(INDEX(Tasks[_LeafTotalSlack],Tasks[[#This Row],[_Row]]+1):INDEX(Tasks[_LeafTotalSlack],Tasks[[#This Row],[_Row]]+Tasks[[#This Row],[_Descendants]])),Tasks[[#This Row],[_LeafTotalSlack]]))</f>
        <v/>
      </c>
      <c r="AH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 s="28" t="str">
        <f aca="false">IF(Tasks[[#This Row],[Task Name]]="","",IF(IF(Tasks[[#This Row],[_IsSummary]],COUNTIF(INDEX(Tasks[_LeafCritical],Tasks[[#This Row],[_Row]]+1):INDEX(Tasks[_LeafCritical],Tasks[[#This Row],[_Row]]+Tasks[[#This Row],[_Descendants]]),TRUE())&gt;0,Tasks[[#This Row],[_LeafCritical]]),"Yes",""))</f>
        <v/>
      </c>
      <c r="AJ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 s="89"/>
      <c r="AM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 s="28" t="str">
        <f aca="false">IF(Tasks[[#This Row],[Task Name]]="","",IF(Tasks[[#This Row],[Progress]]&gt;=1,"Complete",IF(OR(N(Tasks[[#This Row],[Actual Start]])&gt;0,Tasks[[#This Row],[Progress]]&gt;0),IF(Tasks[[#This Row],[Finish Var]]&gt;0,"Behind","In Progress"),IF(Tasks[[#This Row],[Planned Start]]&lt;StatusDate,"Late Start","Not Started"))))</f>
        <v/>
      </c>
      <c r="AO6" s="30"/>
      <c r="AP6" s="89"/>
      <c r="AQ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 s="96" t="str">
        <f aca="false">IF(Tasks[[#This Row],[Task Name]]="","",IF(Tasks[[#This Row],[_IsSummary]],SUM(INDEX(Tasks[_LeafTotalWork],Tasks[[#This Row],[_Row]]+1):INDEX(Tasks[_LeafTotalWork],Tasks[[#This Row],[_Row]]+Tasks[[#This Row],[_Descendants]])),Tasks[[#This Row],[_LeafTotalWork]]))</f>
        <v/>
      </c>
      <c r="AT6" s="97" t="str">
        <f aca="false">IF(Tasks[[#This Row],[Task Name]]="","",IF(Tasks[[#This Row],[_IsSummary]],SUM(INDEX(Tasks[_LeafTotalCost],Tasks[[#This Row],[_Row]]+1):INDEX(Tasks[_LeafTotalCost],Tasks[[#This Row],[_Row]]+Tasks[[#This Row],[_Descendants]])),Tasks[[#This Row],[_LeafTotalCost]]))</f>
        <v/>
      </c>
      <c r="AU6" s="98"/>
      <c r="AV6" s="29"/>
      <c r="AW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 s="83"/>
      <c r="AY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 s="30"/>
      <c r="BA6" s="25" t="str">
        <f aca="false">IF(Tasks[[#This Row],[Task Name]]="","",Tasks[[#This Row],[Forecast Start]])</f>
        <v/>
      </c>
      <c r="BB6" s="25" t="str">
        <f aca="false">IF(Tasks[[#This Row],[Task Name]]="","",Tasks[[#This Row],[Forecast Finish]])</f>
        <v/>
      </c>
      <c r="BC6" s="28" t="str">
        <f aca="false">IF(Tasks[[#This Row],[Task Name]]="","",IF(Tasks[[#This Row],[_IsSummary]],NETWORKDAYS.INTL(Tasks[[#This Row],[Forecast Start]],Tasks[[#This Row],[Forecast Finish]],WorkWeek,Holidays),N(Tasks[[#This Row],[Duration]])))</f>
        <v/>
      </c>
      <c r="BD6" s="96" t="str">
        <f aca="false">IF(Tasks[[#This Row],[Task Name]]="","",Tasks[[#This Row],[Work]])</f>
        <v/>
      </c>
      <c r="BE6" s="97" t="str">
        <f aca="false">IF(Tasks[[#This Row],[Task Name]]="","",Tasks[[#This Row],[Cost]])</f>
        <v/>
      </c>
      <c r="BF6" s="75"/>
      <c r="BG6" s="75"/>
      <c r="BH6" s="29"/>
      <c r="BI6" s="99"/>
      <c r="BJ6" s="98"/>
      <c r="BK6" s="28" t="str">
        <f aca="false">IF(OR(Tasks[[#This Row],[Task Name]]="",Tasks[[#This Row],[Baseline Duration]]=""),"",Tasks[[#This Row],[BL Source Duration]]-N(Tasks[[#This Row],[Baseline Duration]]))</f>
        <v/>
      </c>
      <c r="BL6" s="96" t="str">
        <f aca="false">IF(OR(Tasks[[#This Row],[Task Name]]="",Tasks[[#This Row],[Baseline Work]]=""),"",Tasks[[#This Row],[Work]]-N(Tasks[[#This Row],[Baseline Work]]))</f>
        <v/>
      </c>
      <c r="BM6" s="97" t="str">
        <f aca="false">IF(OR(Tasks[[#This Row],[Task Name]]="",Tasks[[#This Row],[Baseline Cost]]=""),"",Tasks[[#This Row],[Cost]]-N(Tasks[[#This Row],[Baseline Cost]]))</f>
        <v/>
      </c>
      <c r="BN6" s="97" t="str">
        <f aca="false">IF(Tasks[[#This Row],[Task Name]]="","",IF(Tasks[[#This Row],[_IsSummary]],SUM(INDEX(Tasks[_LeafBudget],Tasks[[#This Row],[_Row]]+1):INDEX(Tasks[_LeafBudget],Tasks[[#This Row],[_Row]]+Tasks[[#This Row],[_Descendants]])),Tasks[[#This Row],[_LeafBudget]]))</f>
        <v/>
      </c>
      <c r="BO6" s="97" t="str">
        <f aca="false">IF(Tasks[[#This Row],[Task Name]]="","",IF(Tasks[[#This Row],[_IsSummary]],SUM(INDEX(Tasks[_LeafPV],Tasks[[#This Row],[_Row]]+1):INDEX(Tasks[_LeafPV],Tasks[[#This Row],[_Row]]+Tasks[[#This Row],[_Descendants]])),Tasks[[#This Row],[_LeafPV]]))</f>
        <v/>
      </c>
      <c r="BP6" s="97" t="str">
        <f aca="false">IF(Tasks[[#This Row],[Task Name]]="","",IF(Tasks[[#This Row],[_IsSummary]],SUM(INDEX(Tasks[_LeafEV],Tasks[[#This Row],[_Row]]+1):INDEX(Tasks[_LeafEV],Tasks[[#This Row],[_Row]]+Tasks[[#This Row],[_Descendants]])),Tasks[[#This Row],[_LeafEV]]))</f>
        <v/>
      </c>
      <c r="BQ6" s="97" t="str">
        <f aca="false">IF(Tasks[[#This Row],[Task Name]]="","",IF(Tasks[[#This Row],[_IsSummary]],SUM(INDEX(Tasks[_LeafAC],Tasks[[#This Row],[_Row]]+1):INDEX(Tasks[_LeafAC],Tasks[[#This Row],[_Row]]+Tasks[[#This Row],[_Descendants]])),Tasks[[#This Row],[_LeafAC]]))</f>
        <v/>
      </c>
      <c r="BR6" s="41" t="str">
        <f aca="false">IF(Tasks[[#This Row],[Task Name]]="","",MAX(1,N(Tasks[[#This Row],[Level]])))</f>
        <v/>
      </c>
      <c r="BS6" s="41" t="n">
        <f aca="false">ROW()-ROW(Tasks[[#Headers],[ID]])</f>
        <v>1</v>
      </c>
      <c r="BT6" s="41" t="n">
        <f aca="false">IF(OR(Tasks[[#This Row],[Task Name]]="",Tasks[[#This Row],[_Level]]&lt;=1),0,IFERROR(LOOKUP(2,1/(Tasks[[#Headers],[_Level]]:Tasks[[#This Row],[_Level]]=Tasks[[#This Row],[_Level]]-1),ROW(Tasks[[#Headers],[_Level]]:Tasks[[#This Row],[_Level]])),0))</f>
        <v>0</v>
      </c>
      <c r="BU6" s="41" t="n">
        <f aca="false">IFERROR(N(INDEX(Tasks[_Level],Tasks[[#This Row],[_Row]]+1)),0)</f>
        <v>0</v>
      </c>
      <c r="BV6" s="100" t="b">
        <f aca="false">AND(Tasks[[#This Row],[Task Name]]&lt;&gt;"",Tasks[[#This Row],[_NextLevel]]&gt;Tasks[[#This Row],[_Level]])</f>
        <v>0</v>
      </c>
      <c r="BW6" s="41" t="n">
        <f aca="false">IF(Tasks[[#This Row],[_IsSummary]],COUNTIF(Tasks[WBS],Tasks[[#This Row],[WBS]]&amp;".*"),0)</f>
        <v>0</v>
      </c>
      <c r="BX6" s="41" t="n">
        <f aca="false">IF(AND(Tasks[[#This Row],[Task Name]]&lt;&gt;"",NOT(Tasks[[#This Row],[_IsSummary]])),1,0)</f>
        <v>0</v>
      </c>
      <c r="BY6" s="41" t="n">
        <f aca="false">IF(N(Tasks[[#This Row],[Pred1 UID]])=0,0,IFERROR(MATCH(Tasks[[#This Row],[Pred1 UID]],Tasks[UID],0),-1))</f>
        <v>0</v>
      </c>
      <c r="BZ6" s="41" t="n">
        <f aca="false">IF(N(Tasks[[#This Row],[Pred2 UID]])=0,0,IFERROR(MATCH(Tasks[[#This Row],[Pred2 UID]],Tasks[UID],0),-1))</f>
        <v>0</v>
      </c>
      <c r="CA6" s="41" t="n">
        <f aca="false">IF(N(Tasks[[#This Row],[Pred3 UID]])=0,0,IFERROR(MATCH(Tasks[[#This Row],[Pred3 UID]],Tasks[UID],0),-1))</f>
        <v>0</v>
      </c>
      <c r="CB6" s="41" t="n">
        <f aca="false">IF(N(Tasks[[#This Row],[Pred4 UID]])=0,0,IFERROR(MATCH(Tasks[[#This Row],[Pred4 UID]],Tasks[UID],0),-1))</f>
        <v>0</v>
      </c>
      <c r="CC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 s="101" t="n">
        <f aca="false">IF(OR(Tasks[[#This Row],[_ConstraintCode]]=2,Tasks[[#This Row],[_ConstraintCode]]=3,Tasks[[#This Row],[_ConstraintCode]]=4,Tasks[[#This Row],[_ConstraintCode]]=6),Tasks[[#This Row],[_ConstraintStart]],0)</f>
        <v>0</v>
      </c>
      <c r="CF6" s="101" t="n">
        <f aca="false">IF(OR(Tasks[[#This Row],[_ConstraintCode]]=2,Tasks[[#This Row],[_ConstraintCode]]=3,Tasks[[#This Row],[_ConstraintCode]]=5,Tasks[[#This Row],[_ConstraintCode]]=7),Tasks[[#This Row],[_ConstraintStart]],2958465)</f>
        <v>2958465</v>
      </c>
      <c r="CG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 s="101" t="str">
        <f aca="false">IF(NOT(Tasks[[#This Row],[_IsLeaf]]=1),"",IF(N(Tasks[[#This Row],[Duration]])&lt;=0,Tasks[[#This Row],[_LeafCalcStart]],WORKDAY.INTL(Tasks[[#This Row],[_LeafCalcStart]],Tasks[[#This Row],[Duration]]-1,WorkWeek,Holidays)))</f>
        <v/>
      </c>
      <c r="CI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 s="41" t="n">
        <f aca="false">IF(NOT(Tasks[[#This Row],[_IsLeaf]]=1),0,IF(N(Tasks[[#This Row],[Actual Finish]])&gt;0,1,MIN(1,N(Tasks[[#This Row],[% Complete]]))))</f>
        <v>0</v>
      </c>
      <c r="CL6" s="41" t="n">
        <f aca="false">IF(OR(NOT(Tasks[[#This Row],[_IsLeaf]]=1),Tasks[[#This Row],[Resource]]=""),0,N(Tasks[[#This Row],[Duration]])*HoursPerDay*IF(Tasks[[#This Row],[Units]]="",DefaultUnits,Tasks[[#This Row],[Units]]))</f>
        <v>0</v>
      </c>
      <c r="CM6" s="41" t="n">
        <f aca="false">IF(Tasks[[#This Row],[_LeafWork]]=0,0,Tasks[[#This Row],[_LeafWork]]*IFERROR(INDEX(res_Rate,MATCH(Tasks[[#This Row],[Resource]],res_Name,0)),0))</f>
        <v>0</v>
      </c>
      <c r="CN6" s="41" t="n">
        <f aca="false">Tasks[[#This Row],[_LeafWork]]+IF(Tasks[[#This Row],[_IsLeaf]]=1,SUMIFS(asg_Work,asg_TaskUID,Tasks[[#This Row],[UID]],asg_Valid,1),0)</f>
        <v>0</v>
      </c>
      <c r="CO6" s="41" t="n">
        <f aca="false">Tasks[[#This Row],[_LeafCost]]+IF(Tasks[[#This Row],[_IsLeaf]]=1,SUMIFS(asg_Cost,asg_TaskUID,Tasks[[#This Row],[UID]],asg_Valid,1),0)</f>
        <v>0</v>
      </c>
      <c r="CP6" s="41" t="n">
        <f aca="false">IF(Tasks[[#This Row],[_LeafTotalCost]]=0,Tasks[[#This Row],[_LeafAC]],Tasks[[#This Row],[_LeafAC]]*Tasks[[#This Row],[_LeafCost]]/Tasks[[#This Row],[_LeafTotalCost]])</f>
        <v>0</v>
      </c>
      <c r="CQ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 s="41" t="n">
        <f aca="false">IF(NOT(Tasks[[#This Row],[_IsLeaf]]=1),0,MAX(_xlfn.MAXIFS(Tasks[_Row],Tasks[Pred1 UID],Tasks[[#This Row],[UID]]),_xlfn.MAXIFS(Tasks[_Row],Tasks[Pred2 UID],Tasks[[#This Row],[UID]]),_xlfn.MAXIFS(Tasks[_Row],Tasks[Pred3 UID],Tasks[[#This Row],[UID]]),_xlfn.MAXIFS(Tasks[_Row],Tasks[Pred4 UID],Tasks[[#This Row],[UID]])))</f>
        <v>0</v>
      </c>
      <c r="CZ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 s="101" t="str">
        <f aca="false">IF(NOT(Tasks[[#This Row],[_IsLeaf]]=1),"",IF(N(Tasks[[#This Row],[Duration]])&lt;=0,Tasks[[#This Row],[_LeafLateFinish]],WORKDAY.INTL(Tasks[[#This Row],[_LeafLateFinish]],-(Tasks[[#This Row],[Duration]]-1),WorkWeek,Holidays)))</f>
        <v/>
      </c>
      <c r="DC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 s="100" t="b">
        <f aca="false">AND(Tasks[[#This Row],[_IsLeaf]]=1,Tasks[[#This Row],[_LeafProgress]]&lt;1,N(Tasks[[#This Row],[_LeafTotalSlack]])&lt;=CriticalSlackDays)</f>
        <v>0</v>
      </c>
      <c r="DE6" s="41" t="n">
        <f aca="false">IF(AND(Tasks[[#This Row],[_IsLeaf]]=1,Tasks[[#This Row],[_ConstraintCode]]=1,Tasks[[#This Row],[Mode]]&lt;&gt;"Manual",N(Tasks[[#This Row],[Actual Start]])=0),MAX(0,N(Tasks[[#This Row],[Free Slack]])),0)</f>
        <v>0</v>
      </c>
      <c r="DF6" s="101" t="str">
        <f aca="false">IF(NOT(Tasks[[#This Row],[_IsLeaf]]=1),"",IF(Tasks[[#This Row],[_AlapShift]]=0,Tasks[[#This Row],[_LeafCalcStart]],WORKDAY.INTL(Tasks[[#This Row],[_LeafCalcStart]],Tasks[[#This Row],[_AlapShift]],WorkWeek,Holidays)))</f>
        <v/>
      </c>
      <c r="DG6" s="101" t="str">
        <f aca="false">IF(NOT(Tasks[[#This Row],[_IsLeaf]]=1),"",IF(Tasks[[#This Row],[_AlapShift]]=0,Tasks[[#This Row],[_LeafCalcFinish]],WORKDAY.INTL(Tasks[[#This Row],[_LeafCalcFinish]],Tasks[[#This Row],[_AlapShift]],WorkWeek,Holidays)))</f>
        <v/>
      </c>
      <c r="DH6" s="101" t="str">
        <f aca="false">IF(NOT(Tasks[[#This Row],[_IsLeaf]]=1),"",IF(Tasks[[#This Row],[_AlapShift]]=0,Tasks[[#This Row],[_LeafFcstStart]],WORKDAY.INTL(Tasks[[#This Row],[_LeafFcstStart]],Tasks[[#This Row],[_AlapShift]],WorkWeek,Holidays)))</f>
        <v/>
      </c>
      <c r="DI6" s="101" t="str">
        <f aca="false">IF(NOT(Tasks[[#This Row],[_IsLeaf]]=1),"",IF(Tasks[[#This Row],[_AlapShift]]=0,Tasks[[#This Row],[_LeafFcstFinish]],WORKDAY.INTL(Tasks[[#This Row],[_LeafFcstFinish]],Tasks[[#This Row],[_AlapShift]],WorkWeek,Holidays)))</f>
        <v/>
      </c>
      <c r="DJ6" s="101" t="str">
        <f aca="false">IF(Tasks[[#This Row],[Task Name]]="","",IF(Tasks[[#This Row],[_IsSummary]],MIN(INDEX(Tasks[_ShownCalcStart],Tasks[[#This Row],[_Row]]+1):INDEX(Tasks[_ShownCalcStart],Tasks[[#This Row],[_Row]]+Tasks[[#This Row],[_Descendants]])),Tasks[[#This Row],[_ShownCalcStart]]))</f>
        <v/>
      </c>
      <c r="DK6" s="101" t="str">
        <f aca="false">IF(Tasks[[#This Row],[Task Name]]="","",IF(Tasks[[#This Row],[_IsSummary]],MAX(INDEX(Tasks[_ShownCalcFinish],Tasks[[#This Row],[_Row]]+1):INDEX(Tasks[_ShownCalcFinish],Tasks[[#This Row],[_Row]]+Tasks[[#This Row],[_Descendants]])),Tasks[[#This Row],[_ShownCalcFinish]]))</f>
        <v/>
      </c>
      <c r="D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 s="41" t="n">
        <f aca="false">IF(AND(Tasks[[#This Row],[_IsLeaf]]=1,Tasks[[#This Row],[_LeafTotalWork]]&gt;0),NETWORKDAYS.INTL(ProjectStart,Tasks[[#This Row],[_ShownFcstStart]],WorkWeek,Holidays),0)</f>
        <v>0</v>
      </c>
      <c r="DY6" s="41" t="n">
        <f aca="false">IF(AND(Tasks[[#This Row],[_IsLeaf]]=1,Tasks[[#This Row],[_LeafTotalWork]]&gt;0),MAX(Tasks[[#This Row],[_StartWorkday]],NETWORKDAYS.INTL(ProjectStart,Tasks[[#This Row],[_ShownFcstFinish]],WorkWeek,Holidays)),0)</f>
        <v>0</v>
      </c>
      <c r="DZ6" s="41" t="n">
        <f aca="false">IF(AND(Tasks[[#This Row],[_IsLeaf]]=1,Tasks[[#This Row],[_LeafTotalWork]]&gt;0),Tasks[[#This Row],[_LeafWork]]/(Tasks[[#This Row],[_FinishWorkday]]-Tasks[[#This Row],[_StartWorkday]]+1),0)</f>
        <v>0</v>
      </c>
      <c r="EA6" s="41" t="n">
        <f aca="false">Tasks[[#This Row],[_WorkPerWorkday]]*(Tasks[[#This Row],[_StartWorkday]]-1)</f>
        <v>-0</v>
      </c>
      <c r="EB6" s="41" t="n">
        <f aca="false">IF(Tasks[[#This Row],[_IsLeaf]]=1,MAX(N(Tasks[[#This Row],[Duration]]),0.1),0)</f>
        <v>0</v>
      </c>
      <c r="EC6" s="41" t="n">
        <f aca="false">Tasks[[#This Row],[_WeightDur]]*Tasks[[#This Row],[_LeafProgress]]</f>
        <v>0</v>
      </c>
      <c r="ED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 s="41" t="str">
        <f aca="false">IF(AND(Tasks[[#This Row],[_IsLeaf]]=1,N(Tasks[[#This Row],[Duration]])=0,Tasks[[#This Row],[_LeafProgress]]&lt;1),Tasks[[#This Row],[_ShownFcstFinish]]+Tasks[[#This Row],[_Row]]/100000,"")</f>
        <v/>
      </c>
      <c r="EF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 s="41" t="n">
        <f aca="false">IF(NOT(Tasks[[#This Row],[_IsLeaf]]=1),0,IF(Tasks[[#This Row],[Baseline Cost]]="",Tasks[[#This Row],[_LeafTotalCost]],N(Tasks[[#This Row],[Baseline Cost]])))</f>
        <v>0</v>
      </c>
      <c r="EH6" s="41" t="n">
        <f aca="false">Tasks[[#This Row],[_LeafBudget]]*Tasks[[#This Row],[_PlannedPct]]</f>
        <v>0</v>
      </c>
      <c r="EI6" s="41" t="n">
        <f aca="false">Tasks[[#This Row],[_LeafBudget]]*Tasks[[#This Row],[_LeafProgress]]</f>
        <v>0</v>
      </c>
      <c r="EJ6" s="41" t="n">
        <f aca="false">IF(NOT(Tasks[[#This Row],[_IsLeaf]]=1),0,IF(Tasks[[#This Row],[Actual Cost]]="",Tasks[[#This Row],[_LeafTotalCost]]*Tasks[[#This Row],[_LeafProgress]],N(Tasks[[#This Row],[Actual Cost]])))</f>
        <v>0</v>
      </c>
      <c r="EK6" s="41" t="str">
        <f aca="false">IF(Tasks[[#This Row],[Task Name]]="","",LEFT(Tasks[[#This Row],[WBS]],FIND(".",Tasks[[#This Row],[WBS]]&amp;".")-1))</f>
        <v/>
      </c>
      <c r="EL6" s="41" t="str">
        <f aca="false">IF(AND(Tasks[[#This Row],[Task Name]]&lt;&gt;"",Tasks[[#This Row],[_Level]]=1),Tasks[[#This Row],[_Row]],"")</f>
        <v/>
      </c>
      <c r="EM6" s="41" t="str">
        <f aca="false">IF(AND(Tasks[[#This Row],[_IsLeaf]]=1,N(Tasks[[#This Row],[Duration]])=0),Tasks[[#This Row],[Planned Finish]]+Tasks[[#This Row],[_Row]]/100000,"")</f>
        <v/>
      </c>
      <c r="EN6" s="41" t="str">
        <f aca="false">IF(AND(Tasks[[#This Row],[_IsLeaf]]=1,Tasks[[#This Row],[_LeafProgress]]&lt;1,OR(N(Tasks[[#This Row],[Finish Var]])&gt;0,Tasks[[#This Row],[Status]]="Late Start")),MAX(0,Tasks[[#This Row],[Finish Var]])+1-Tasks[[#This Row],[_Row]]/1000000,"")</f>
        <v/>
      </c>
      <c r="EO6" s="41" t="str">
        <f aca="false">IF(AND(Tasks[[#This Row],[_IsLeaf]]=1,N(Tasks[[#This Row],[Actual Start]])=0,Tasks[[#This Row],[_ShownFcstStart]]&gt;=StatusDate,Tasks[[#This Row],[_ShownFcstStart]]&lt;=LookaheadEnd),Tasks[[#This Row],[_ShownFcstStart]]+Tasks[[#This Row],[_Row]]/100000,"")</f>
        <v/>
      </c>
      <c r="EP6" s="41" t="str">
        <f aca="false">IF(AND(Tasks[[#This Row],[_IsLeaf]]=1,Tasks[[#This Row],[_LeafProgress]]&lt;1,Tasks[[#This Row],[_ShownFcstFinish]]&gt;=StatusDate,Tasks[[#This Row],[_ShownFcstFinish]]&lt;=LookaheadEnd),Tasks[[#This Row],[_ShownFcstFinish]]+Tasks[[#This Row],[_Row]]/100000,"")</f>
        <v/>
      </c>
      <c r="EQ6" s="41" t="str">
        <f aca="false">IF(Tasks[[#This Row],[_LeafCritical]],Tasks[[#This Row],[_ShownFcstStart]]+Tasks[[#This Row],[_Row]]/100000,"")</f>
        <v/>
      </c>
      <c r="ER6" s="41" t="n">
        <f aca="false">Tasks[[#This Row],[_LeafWork]]*Tasks[[#This Row],[_LeafProgress]]</f>
        <v>0</v>
      </c>
      <c r="ES6" s="101" t="str">
        <f aca="false">IF(AND(Tasks[[#This Row],[_IsLeaf]]=1,Tasks[[#This Row],[_LeafProgress]]&gt;=1),IF(N(Tasks[[#This Row],[Actual Finish]])&gt;0,Tasks[[#This Row],[Actual Finish]],Tasks[[#This Row],[_ShownFcstFinish]]),"")</f>
        <v/>
      </c>
      <c r="ET6" s="41" t="n">
        <f aca="false">IF(Tasks[[#This Row],[_IsLeaf]]=1,N(Tasks[[#This Row],[Story Points]]),0)</f>
        <v>0</v>
      </c>
      <c r="EU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29"/>
      <c r="O7" s="29"/>
      <c r="P7" s="29"/>
      <c r="Q7" s="29"/>
      <c r="R7" s="29"/>
      <c r="S7" s="29"/>
      <c r="T7" s="30"/>
      <c r="U7" s="75"/>
      <c r="V7" s="75"/>
      <c r="W7" s="25" t="str">
        <f aca="false">IF(Tasks[[#This Row],[Task Name]]="","",IF(N(Tasks[[#This Row],[Baseline Start]])&gt;0,Tasks[[#This Row],[Baseline Start]],Tasks[[#This Row],[_CalcStart]]))</f>
        <v/>
      </c>
      <c r="X7" s="25" t="str">
        <f aca="false">IF(Tasks[[#This Row],[Task Name]]="","",IF(N(Tasks[[#This Row],[Baseline Finish]])&gt;0,Tasks[[#This Row],[Baseline Finish]],Tasks[[#This Row],[_CalcFinish]]))</f>
        <v/>
      </c>
      <c r="Y7" s="75"/>
      <c r="Z7" s="75"/>
      <c r="AA7" s="25" t="str">
        <f aca="false">IF(Tasks[[#This Row],[Task Name]]="","",IF(Tasks[[#This Row],[_IsSummary]],MIN(INDEX(Tasks[_ShownFcstStart],Tasks[[#This Row],[_Row]]+1):INDEX(Tasks[_ShownFcstStart],Tasks[[#This Row],[_Row]]+Tasks[[#This Row],[_Descendants]])),Tasks[[#This Row],[_ShownFcstStart]]))</f>
        <v/>
      </c>
      <c r="AB7" s="25" t="str">
        <f aca="false">IF(Tasks[[#This Row],[Task Name]]="","",IF(Tasks[[#This Row],[_IsSummary]],MAX(INDEX(Tasks[_ShownFcstFinish],Tasks[[#This Row],[_Row]]+1):INDEX(Tasks[_ShownFcstFinish],Tasks[[#This Row],[_Row]]+Tasks[[#This Row],[_Descendants]])),Tasks[[#This Row],[_ShownFcstFinish]]))</f>
        <v/>
      </c>
      <c r="AC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 s="25" t="str">
        <f aca="false">IF(Tasks[[#This Row],[Task Name]]="","",IF(Tasks[[#This Row],[_IsSummary]],MIN(INDEX(Tasks[_LeafLateStart],Tasks[[#This Row],[_Row]]+1):INDEX(Tasks[_LeafLateStart],Tasks[[#This Row],[_Row]]+Tasks[[#This Row],[_Descendants]])),Tasks[[#This Row],[_LeafLateStart]]))</f>
        <v/>
      </c>
      <c r="AF7" s="25" t="str">
        <f aca="false">IF(Tasks[[#This Row],[Task Name]]="","",IF(Tasks[[#This Row],[_IsSummary]],MAX(INDEX(Tasks[_LeafLateFinish],Tasks[[#This Row],[_Row]]+1):INDEX(Tasks[_LeafLateFinish],Tasks[[#This Row],[_Row]]+Tasks[[#This Row],[_Descendants]])),Tasks[[#This Row],[_LeafLateFinish]]))</f>
        <v/>
      </c>
      <c r="AG7" s="28" t="str">
        <f aca="false">IF(Tasks[[#This Row],[Task Name]]="","",IF(Tasks[[#This Row],[_IsSummary]],MIN(INDEX(Tasks[_LeafTotalSlack],Tasks[[#This Row],[_Row]]+1):INDEX(Tasks[_LeafTotalSlack],Tasks[[#This Row],[_Row]]+Tasks[[#This Row],[_Descendants]])),Tasks[[#This Row],[_LeafTotalSlack]]))</f>
        <v/>
      </c>
      <c r="AH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 s="28" t="str">
        <f aca="false">IF(Tasks[[#This Row],[Task Name]]="","",IF(IF(Tasks[[#This Row],[_IsSummary]],COUNTIF(INDEX(Tasks[_LeafCritical],Tasks[[#This Row],[_Row]]+1):INDEX(Tasks[_LeafCritical],Tasks[[#This Row],[_Row]]+Tasks[[#This Row],[_Descendants]]),TRUE())&gt;0,Tasks[[#This Row],[_LeafCritical]]),"Yes",""))</f>
        <v/>
      </c>
      <c r="AJ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 s="89"/>
      <c r="AM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 s="28" t="str">
        <f aca="false">IF(Tasks[[#This Row],[Task Name]]="","",IF(Tasks[[#This Row],[Progress]]&gt;=1,"Complete",IF(OR(N(Tasks[[#This Row],[Actual Start]])&gt;0,Tasks[[#This Row],[Progress]]&gt;0),IF(Tasks[[#This Row],[Finish Var]]&gt;0,"Behind","In Progress"),IF(Tasks[[#This Row],[Planned Start]]&lt;StatusDate,"Late Start","Not Started"))))</f>
        <v/>
      </c>
      <c r="AO7" s="30"/>
      <c r="AP7" s="89"/>
      <c r="AQ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 s="96" t="str">
        <f aca="false">IF(Tasks[[#This Row],[Task Name]]="","",IF(Tasks[[#This Row],[_IsSummary]],SUM(INDEX(Tasks[_LeafTotalWork],Tasks[[#This Row],[_Row]]+1):INDEX(Tasks[_LeafTotalWork],Tasks[[#This Row],[_Row]]+Tasks[[#This Row],[_Descendants]])),Tasks[[#This Row],[_LeafTotalWork]]))</f>
        <v/>
      </c>
      <c r="AT7" s="97" t="str">
        <f aca="false">IF(Tasks[[#This Row],[Task Name]]="","",IF(Tasks[[#This Row],[_IsSummary]],SUM(INDEX(Tasks[_LeafTotalCost],Tasks[[#This Row],[_Row]]+1):INDEX(Tasks[_LeafTotalCost],Tasks[[#This Row],[_Row]]+Tasks[[#This Row],[_Descendants]])),Tasks[[#This Row],[_LeafTotalCost]]))</f>
        <v/>
      </c>
      <c r="AU7" s="98"/>
      <c r="AV7" s="29"/>
      <c r="AW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 s="83"/>
      <c r="AY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 s="30"/>
      <c r="BA7" s="25" t="str">
        <f aca="false">IF(Tasks[[#This Row],[Task Name]]="","",Tasks[[#This Row],[Forecast Start]])</f>
        <v/>
      </c>
      <c r="BB7" s="25" t="str">
        <f aca="false">IF(Tasks[[#This Row],[Task Name]]="","",Tasks[[#This Row],[Forecast Finish]])</f>
        <v/>
      </c>
      <c r="BC7" s="28" t="str">
        <f aca="false">IF(Tasks[[#This Row],[Task Name]]="","",IF(Tasks[[#This Row],[_IsSummary]],NETWORKDAYS.INTL(Tasks[[#This Row],[Forecast Start]],Tasks[[#This Row],[Forecast Finish]],WorkWeek,Holidays),N(Tasks[[#This Row],[Duration]])))</f>
        <v/>
      </c>
      <c r="BD7" s="96" t="str">
        <f aca="false">IF(Tasks[[#This Row],[Task Name]]="","",Tasks[[#This Row],[Work]])</f>
        <v/>
      </c>
      <c r="BE7" s="97" t="str">
        <f aca="false">IF(Tasks[[#This Row],[Task Name]]="","",Tasks[[#This Row],[Cost]])</f>
        <v/>
      </c>
      <c r="BF7" s="75"/>
      <c r="BG7" s="75"/>
      <c r="BH7" s="29"/>
      <c r="BI7" s="99"/>
      <c r="BJ7" s="98"/>
      <c r="BK7" s="28" t="str">
        <f aca="false">IF(OR(Tasks[[#This Row],[Task Name]]="",Tasks[[#This Row],[Baseline Duration]]=""),"",Tasks[[#This Row],[BL Source Duration]]-N(Tasks[[#This Row],[Baseline Duration]]))</f>
        <v/>
      </c>
      <c r="BL7" s="96" t="str">
        <f aca="false">IF(OR(Tasks[[#This Row],[Task Name]]="",Tasks[[#This Row],[Baseline Work]]=""),"",Tasks[[#This Row],[Work]]-N(Tasks[[#This Row],[Baseline Work]]))</f>
        <v/>
      </c>
      <c r="BM7" s="97" t="str">
        <f aca="false">IF(OR(Tasks[[#This Row],[Task Name]]="",Tasks[[#This Row],[Baseline Cost]]=""),"",Tasks[[#This Row],[Cost]]-N(Tasks[[#This Row],[Baseline Cost]]))</f>
        <v/>
      </c>
      <c r="BN7" s="97" t="str">
        <f aca="false">IF(Tasks[[#This Row],[Task Name]]="","",IF(Tasks[[#This Row],[_IsSummary]],SUM(INDEX(Tasks[_LeafBudget],Tasks[[#This Row],[_Row]]+1):INDEX(Tasks[_LeafBudget],Tasks[[#This Row],[_Row]]+Tasks[[#This Row],[_Descendants]])),Tasks[[#This Row],[_LeafBudget]]))</f>
        <v/>
      </c>
      <c r="BO7" s="97" t="str">
        <f aca="false">IF(Tasks[[#This Row],[Task Name]]="","",IF(Tasks[[#This Row],[_IsSummary]],SUM(INDEX(Tasks[_LeafPV],Tasks[[#This Row],[_Row]]+1):INDEX(Tasks[_LeafPV],Tasks[[#This Row],[_Row]]+Tasks[[#This Row],[_Descendants]])),Tasks[[#This Row],[_LeafPV]]))</f>
        <v/>
      </c>
      <c r="BP7" s="97" t="str">
        <f aca="false">IF(Tasks[[#This Row],[Task Name]]="","",IF(Tasks[[#This Row],[_IsSummary]],SUM(INDEX(Tasks[_LeafEV],Tasks[[#This Row],[_Row]]+1):INDEX(Tasks[_LeafEV],Tasks[[#This Row],[_Row]]+Tasks[[#This Row],[_Descendants]])),Tasks[[#This Row],[_LeafEV]]))</f>
        <v/>
      </c>
      <c r="BQ7" s="97" t="str">
        <f aca="false">IF(Tasks[[#This Row],[Task Name]]="","",IF(Tasks[[#This Row],[_IsSummary]],SUM(INDEX(Tasks[_LeafAC],Tasks[[#This Row],[_Row]]+1):INDEX(Tasks[_LeafAC],Tasks[[#This Row],[_Row]]+Tasks[[#This Row],[_Descendants]])),Tasks[[#This Row],[_LeafAC]]))</f>
        <v/>
      </c>
      <c r="BR7" s="41" t="str">
        <f aca="false">IF(Tasks[[#This Row],[Task Name]]="","",MAX(1,N(Tasks[[#This Row],[Level]])))</f>
        <v/>
      </c>
      <c r="BS7" s="41" t="n">
        <f aca="false">ROW()-ROW(Tasks[[#Headers],[ID]])</f>
        <v>2</v>
      </c>
      <c r="BT7" s="41" t="n">
        <f aca="false">IF(OR(Tasks[[#This Row],[Task Name]]="",Tasks[[#This Row],[_Level]]&lt;=1),0,IFERROR(LOOKUP(2,1/(Tasks[[#Headers],[_Level]]:Tasks[[#This Row],[_Level]]=Tasks[[#This Row],[_Level]]-1),ROW(Tasks[[#Headers],[_Level]]:Tasks[[#This Row],[_Level]])),0))</f>
        <v>0</v>
      </c>
      <c r="BU7" s="41" t="n">
        <f aca="false">IFERROR(N(INDEX(Tasks[_Level],Tasks[[#This Row],[_Row]]+1)),0)</f>
        <v>0</v>
      </c>
      <c r="BV7" s="100" t="b">
        <f aca="false">AND(Tasks[[#This Row],[Task Name]]&lt;&gt;"",Tasks[[#This Row],[_NextLevel]]&gt;Tasks[[#This Row],[_Level]])</f>
        <v>0</v>
      </c>
      <c r="BW7" s="41" t="n">
        <f aca="false">IF(Tasks[[#This Row],[_IsSummary]],COUNTIF(Tasks[WBS],Tasks[[#This Row],[WBS]]&amp;".*"),0)</f>
        <v>0</v>
      </c>
      <c r="BX7" s="41" t="n">
        <f aca="false">IF(AND(Tasks[[#This Row],[Task Name]]&lt;&gt;"",NOT(Tasks[[#This Row],[_IsSummary]])),1,0)</f>
        <v>0</v>
      </c>
      <c r="BY7" s="41" t="n">
        <f aca="false">IF(N(Tasks[[#This Row],[Pred1 UID]])=0,0,IFERROR(MATCH(Tasks[[#This Row],[Pred1 UID]],Tasks[UID],0),-1))</f>
        <v>0</v>
      </c>
      <c r="BZ7" s="41" t="n">
        <f aca="false">IF(N(Tasks[[#This Row],[Pred2 UID]])=0,0,IFERROR(MATCH(Tasks[[#This Row],[Pred2 UID]],Tasks[UID],0),-1))</f>
        <v>0</v>
      </c>
      <c r="CA7" s="41" t="n">
        <f aca="false">IF(N(Tasks[[#This Row],[Pred3 UID]])=0,0,IFERROR(MATCH(Tasks[[#This Row],[Pred3 UID]],Tasks[UID],0),-1))</f>
        <v>0</v>
      </c>
      <c r="CB7" s="41" t="n">
        <f aca="false">IF(N(Tasks[[#This Row],[Pred4 UID]])=0,0,IFERROR(MATCH(Tasks[[#This Row],[Pred4 UID]],Tasks[UID],0),-1))</f>
        <v>0</v>
      </c>
      <c r="CC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 s="101" t="n">
        <f aca="false">IF(OR(Tasks[[#This Row],[_ConstraintCode]]=2,Tasks[[#This Row],[_ConstraintCode]]=3,Tasks[[#This Row],[_ConstraintCode]]=4,Tasks[[#This Row],[_ConstraintCode]]=6),Tasks[[#This Row],[_ConstraintStart]],0)</f>
        <v>0</v>
      </c>
      <c r="CF7" s="101" t="n">
        <f aca="false">IF(OR(Tasks[[#This Row],[_ConstraintCode]]=2,Tasks[[#This Row],[_ConstraintCode]]=3,Tasks[[#This Row],[_ConstraintCode]]=5,Tasks[[#This Row],[_ConstraintCode]]=7),Tasks[[#This Row],[_ConstraintStart]],2958465)</f>
        <v>2958465</v>
      </c>
      <c r="CG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 s="101" t="str">
        <f aca="false">IF(NOT(Tasks[[#This Row],[_IsLeaf]]=1),"",IF(N(Tasks[[#This Row],[Duration]])&lt;=0,Tasks[[#This Row],[_LeafCalcStart]],WORKDAY.INTL(Tasks[[#This Row],[_LeafCalcStart]],Tasks[[#This Row],[Duration]]-1,WorkWeek,Holidays)))</f>
        <v/>
      </c>
      <c r="CI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 s="41" t="n">
        <f aca="false">IF(NOT(Tasks[[#This Row],[_IsLeaf]]=1),0,IF(N(Tasks[[#This Row],[Actual Finish]])&gt;0,1,MIN(1,N(Tasks[[#This Row],[% Complete]]))))</f>
        <v>0</v>
      </c>
      <c r="CL7" s="41" t="n">
        <f aca="false">IF(OR(NOT(Tasks[[#This Row],[_IsLeaf]]=1),Tasks[[#This Row],[Resource]]=""),0,N(Tasks[[#This Row],[Duration]])*HoursPerDay*IF(Tasks[[#This Row],[Units]]="",DefaultUnits,Tasks[[#This Row],[Units]]))</f>
        <v>0</v>
      </c>
      <c r="CM7" s="41" t="n">
        <f aca="false">IF(Tasks[[#This Row],[_LeafWork]]=0,0,Tasks[[#This Row],[_LeafWork]]*IFERROR(INDEX(res_Rate,MATCH(Tasks[[#This Row],[Resource]],res_Name,0)),0))</f>
        <v>0</v>
      </c>
      <c r="CN7" s="41" t="n">
        <f aca="false">Tasks[[#This Row],[_LeafWork]]+IF(Tasks[[#This Row],[_IsLeaf]]=1,SUMIFS(asg_Work,asg_TaskUID,Tasks[[#This Row],[UID]],asg_Valid,1),0)</f>
        <v>0</v>
      </c>
      <c r="CO7" s="41" t="n">
        <f aca="false">Tasks[[#This Row],[_LeafCost]]+IF(Tasks[[#This Row],[_IsLeaf]]=1,SUMIFS(asg_Cost,asg_TaskUID,Tasks[[#This Row],[UID]],asg_Valid,1),0)</f>
        <v>0</v>
      </c>
      <c r="CP7" s="41" t="n">
        <f aca="false">IF(Tasks[[#This Row],[_LeafTotalCost]]=0,Tasks[[#This Row],[_LeafAC]],Tasks[[#This Row],[_LeafAC]]*Tasks[[#This Row],[_LeafCost]]/Tasks[[#This Row],[_LeafTotalCost]])</f>
        <v>0</v>
      </c>
      <c r="CQ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 s="41" t="n">
        <f aca="false">IF(NOT(Tasks[[#This Row],[_IsLeaf]]=1),0,MAX(_xlfn.MAXIFS(Tasks[_Row],Tasks[Pred1 UID],Tasks[[#This Row],[UID]]),_xlfn.MAXIFS(Tasks[_Row],Tasks[Pred2 UID],Tasks[[#This Row],[UID]]),_xlfn.MAXIFS(Tasks[_Row],Tasks[Pred3 UID],Tasks[[#This Row],[UID]]),_xlfn.MAXIFS(Tasks[_Row],Tasks[Pred4 UID],Tasks[[#This Row],[UID]])))</f>
        <v>0</v>
      </c>
      <c r="CZ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 s="101" t="str">
        <f aca="false">IF(NOT(Tasks[[#This Row],[_IsLeaf]]=1),"",IF(N(Tasks[[#This Row],[Duration]])&lt;=0,Tasks[[#This Row],[_LeafLateFinish]],WORKDAY.INTL(Tasks[[#This Row],[_LeafLateFinish]],-(Tasks[[#This Row],[Duration]]-1),WorkWeek,Holidays)))</f>
        <v/>
      </c>
      <c r="DC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 s="100" t="b">
        <f aca="false">AND(Tasks[[#This Row],[_IsLeaf]]=1,Tasks[[#This Row],[_LeafProgress]]&lt;1,N(Tasks[[#This Row],[_LeafTotalSlack]])&lt;=CriticalSlackDays)</f>
        <v>0</v>
      </c>
      <c r="DE7" s="41" t="n">
        <f aca="false">IF(AND(Tasks[[#This Row],[_IsLeaf]]=1,Tasks[[#This Row],[_ConstraintCode]]=1,Tasks[[#This Row],[Mode]]&lt;&gt;"Manual",N(Tasks[[#This Row],[Actual Start]])=0),MAX(0,N(Tasks[[#This Row],[Free Slack]])),0)</f>
        <v>0</v>
      </c>
      <c r="DF7" s="101" t="str">
        <f aca="false">IF(NOT(Tasks[[#This Row],[_IsLeaf]]=1),"",IF(Tasks[[#This Row],[_AlapShift]]=0,Tasks[[#This Row],[_LeafCalcStart]],WORKDAY.INTL(Tasks[[#This Row],[_LeafCalcStart]],Tasks[[#This Row],[_AlapShift]],WorkWeek,Holidays)))</f>
        <v/>
      </c>
      <c r="DG7" s="101" t="str">
        <f aca="false">IF(NOT(Tasks[[#This Row],[_IsLeaf]]=1),"",IF(Tasks[[#This Row],[_AlapShift]]=0,Tasks[[#This Row],[_LeafCalcFinish]],WORKDAY.INTL(Tasks[[#This Row],[_LeafCalcFinish]],Tasks[[#This Row],[_AlapShift]],WorkWeek,Holidays)))</f>
        <v/>
      </c>
      <c r="DH7" s="101" t="str">
        <f aca="false">IF(NOT(Tasks[[#This Row],[_IsLeaf]]=1),"",IF(Tasks[[#This Row],[_AlapShift]]=0,Tasks[[#This Row],[_LeafFcstStart]],WORKDAY.INTL(Tasks[[#This Row],[_LeafFcstStart]],Tasks[[#This Row],[_AlapShift]],WorkWeek,Holidays)))</f>
        <v/>
      </c>
      <c r="DI7" s="101" t="str">
        <f aca="false">IF(NOT(Tasks[[#This Row],[_IsLeaf]]=1),"",IF(Tasks[[#This Row],[_AlapShift]]=0,Tasks[[#This Row],[_LeafFcstFinish]],WORKDAY.INTL(Tasks[[#This Row],[_LeafFcstFinish]],Tasks[[#This Row],[_AlapShift]],WorkWeek,Holidays)))</f>
        <v/>
      </c>
      <c r="DJ7" s="101" t="str">
        <f aca="false">IF(Tasks[[#This Row],[Task Name]]="","",IF(Tasks[[#This Row],[_IsSummary]],MIN(INDEX(Tasks[_ShownCalcStart],Tasks[[#This Row],[_Row]]+1):INDEX(Tasks[_ShownCalcStart],Tasks[[#This Row],[_Row]]+Tasks[[#This Row],[_Descendants]])),Tasks[[#This Row],[_ShownCalcStart]]))</f>
        <v/>
      </c>
      <c r="DK7" s="101" t="str">
        <f aca="false">IF(Tasks[[#This Row],[Task Name]]="","",IF(Tasks[[#This Row],[_IsSummary]],MAX(INDEX(Tasks[_ShownCalcFinish],Tasks[[#This Row],[_Row]]+1):INDEX(Tasks[_ShownCalcFinish],Tasks[[#This Row],[_Row]]+Tasks[[#This Row],[_Descendants]])),Tasks[[#This Row],[_ShownCalcFinish]]))</f>
        <v/>
      </c>
      <c r="D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 s="41" t="n">
        <f aca="false">IF(AND(Tasks[[#This Row],[_IsLeaf]]=1,Tasks[[#This Row],[_LeafTotalWork]]&gt;0),NETWORKDAYS.INTL(ProjectStart,Tasks[[#This Row],[_ShownFcstStart]],WorkWeek,Holidays),0)</f>
        <v>0</v>
      </c>
      <c r="DY7" s="41" t="n">
        <f aca="false">IF(AND(Tasks[[#This Row],[_IsLeaf]]=1,Tasks[[#This Row],[_LeafTotalWork]]&gt;0),MAX(Tasks[[#This Row],[_StartWorkday]],NETWORKDAYS.INTL(ProjectStart,Tasks[[#This Row],[_ShownFcstFinish]],WorkWeek,Holidays)),0)</f>
        <v>0</v>
      </c>
      <c r="DZ7" s="41" t="n">
        <f aca="false">IF(AND(Tasks[[#This Row],[_IsLeaf]]=1,Tasks[[#This Row],[_LeafTotalWork]]&gt;0),Tasks[[#This Row],[_LeafWork]]/(Tasks[[#This Row],[_FinishWorkday]]-Tasks[[#This Row],[_StartWorkday]]+1),0)</f>
        <v>0</v>
      </c>
      <c r="EA7" s="41" t="n">
        <f aca="false">Tasks[[#This Row],[_WorkPerWorkday]]*(Tasks[[#This Row],[_StartWorkday]]-1)</f>
        <v>-0</v>
      </c>
      <c r="EB7" s="41" t="n">
        <f aca="false">IF(Tasks[[#This Row],[_IsLeaf]]=1,MAX(N(Tasks[[#This Row],[Duration]]),0.1),0)</f>
        <v>0</v>
      </c>
      <c r="EC7" s="41" t="n">
        <f aca="false">Tasks[[#This Row],[_WeightDur]]*Tasks[[#This Row],[_LeafProgress]]</f>
        <v>0</v>
      </c>
      <c r="ED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 s="41" t="str">
        <f aca="false">IF(AND(Tasks[[#This Row],[_IsLeaf]]=1,N(Tasks[[#This Row],[Duration]])=0,Tasks[[#This Row],[_LeafProgress]]&lt;1),Tasks[[#This Row],[_ShownFcstFinish]]+Tasks[[#This Row],[_Row]]/100000,"")</f>
        <v/>
      </c>
      <c r="EF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 s="41" t="n">
        <f aca="false">IF(NOT(Tasks[[#This Row],[_IsLeaf]]=1),0,IF(Tasks[[#This Row],[Baseline Cost]]="",Tasks[[#This Row],[_LeafTotalCost]],N(Tasks[[#This Row],[Baseline Cost]])))</f>
        <v>0</v>
      </c>
      <c r="EH7" s="41" t="n">
        <f aca="false">Tasks[[#This Row],[_LeafBudget]]*Tasks[[#This Row],[_PlannedPct]]</f>
        <v>0</v>
      </c>
      <c r="EI7" s="41" t="n">
        <f aca="false">Tasks[[#This Row],[_LeafBudget]]*Tasks[[#This Row],[_LeafProgress]]</f>
        <v>0</v>
      </c>
      <c r="EJ7" s="41" t="n">
        <f aca="false">IF(NOT(Tasks[[#This Row],[_IsLeaf]]=1),0,IF(Tasks[[#This Row],[Actual Cost]]="",Tasks[[#This Row],[_LeafTotalCost]]*Tasks[[#This Row],[_LeafProgress]],N(Tasks[[#This Row],[Actual Cost]])))</f>
        <v>0</v>
      </c>
      <c r="EK7" s="41" t="str">
        <f aca="false">IF(Tasks[[#This Row],[Task Name]]="","",LEFT(Tasks[[#This Row],[WBS]],FIND(".",Tasks[[#This Row],[WBS]]&amp;".")-1))</f>
        <v/>
      </c>
      <c r="EL7" s="41" t="str">
        <f aca="false">IF(AND(Tasks[[#This Row],[Task Name]]&lt;&gt;"",Tasks[[#This Row],[_Level]]=1),Tasks[[#This Row],[_Row]],"")</f>
        <v/>
      </c>
      <c r="EM7" s="41" t="str">
        <f aca="false">IF(AND(Tasks[[#This Row],[_IsLeaf]]=1,N(Tasks[[#This Row],[Duration]])=0),Tasks[[#This Row],[Planned Finish]]+Tasks[[#This Row],[_Row]]/100000,"")</f>
        <v/>
      </c>
      <c r="EN7" s="41" t="str">
        <f aca="false">IF(AND(Tasks[[#This Row],[_IsLeaf]]=1,Tasks[[#This Row],[_LeafProgress]]&lt;1,OR(N(Tasks[[#This Row],[Finish Var]])&gt;0,Tasks[[#This Row],[Status]]="Late Start")),MAX(0,Tasks[[#This Row],[Finish Var]])+1-Tasks[[#This Row],[_Row]]/1000000,"")</f>
        <v/>
      </c>
      <c r="EO7" s="41" t="str">
        <f aca="false">IF(AND(Tasks[[#This Row],[_IsLeaf]]=1,N(Tasks[[#This Row],[Actual Start]])=0,Tasks[[#This Row],[_ShownFcstStart]]&gt;=StatusDate,Tasks[[#This Row],[_ShownFcstStart]]&lt;=LookaheadEnd),Tasks[[#This Row],[_ShownFcstStart]]+Tasks[[#This Row],[_Row]]/100000,"")</f>
        <v/>
      </c>
      <c r="EP7" s="41" t="str">
        <f aca="false">IF(AND(Tasks[[#This Row],[_IsLeaf]]=1,Tasks[[#This Row],[_LeafProgress]]&lt;1,Tasks[[#This Row],[_ShownFcstFinish]]&gt;=StatusDate,Tasks[[#This Row],[_ShownFcstFinish]]&lt;=LookaheadEnd),Tasks[[#This Row],[_ShownFcstFinish]]+Tasks[[#This Row],[_Row]]/100000,"")</f>
        <v/>
      </c>
      <c r="EQ7" s="41" t="str">
        <f aca="false">IF(Tasks[[#This Row],[_LeafCritical]],Tasks[[#This Row],[_ShownFcstStart]]+Tasks[[#This Row],[_Row]]/100000,"")</f>
        <v/>
      </c>
      <c r="ER7" s="41" t="n">
        <f aca="false">Tasks[[#This Row],[_LeafWork]]*Tasks[[#This Row],[_LeafProgress]]</f>
        <v>0</v>
      </c>
      <c r="ES7" s="101" t="str">
        <f aca="false">IF(AND(Tasks[[#This Row],[_IsLeaf]]=1,Tasks[[#This Row],[_LeafProgress]]&gt;=1),IF(N(Tasks[[#This Row],[Actual Finish]])&gt;0,Tasks[[#This Row],[Actual Finish]],Tasks[[#This Row],[_ShownFcstFinish]]),"")</f>
        <v/>
      </c>
      <c r="ET7" s="41" t="n">
        <f aca="false">IF(Tasks[[#This Row],[_IsLeaf]]=1,N(Tasks[[#This Row],[Story Points]]),0)</f>
        <v>0</v>
      </c>
      <c r="EU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29"/>
      <c r="O8" s="29"/>
      <c r="P8" s="29"/>
      <c r="Q8" s="29"/>
      <c r="R8" s="29"/>
      <c r="S8" s="29"/>
      <c r="T8" s="30"/>
      <c r="U8" s="75"/>
      <c r="V8" s="75"/>
      <c r="W8" s="25" t="str">
        <f aca="false">IF(Tasks[[#This Row],[Task Name]]="","",IF(N(Tasks[[#This Row],[Baseline Start]])&gt;0,Tasks[[#This Row],[Baseline Start]],Tasks[[#This Row],[_CalcStart]]))</f>
        <v/>
      </c>
      <c r="X8" s="25" t="str">
        <f aca="false">IF(Tasks[[#This Row],[Task Name]]="","",IF(N(Tasks[[#This Row],[Baseline Finish]])&gt;0,Tasks[[#This Row],[Baseline Finish]],Tasks[[#This Row],[_CalcFinish]]))</f>
        <v/>
      </c>
      <c r="Y8" s="75"/>
      <c r="Z8" s="75"/>
      <c r="AA8" s="25" t="str">
        <f aca="false">IF(Tasks[[#This Row],[Task Name]]="","",IF(Tasks[[#This Row],[_IsSummary]],MIN(INDEX(Tasks[_ShownFcstStart],Tasks[[#This Row],[_Row]]+1):INDEX(Tasks[_ShownFcstStart],Tasks[[#This Row],[_Row]]+Tasks[[#This Row],[_Descendants]])),Tasks[[#This Row],[_ShownFcstStart]]))</f>
        <v/>
      </c>
      <c r="AB8" s="25" t="str">
        <f aca="false">IF(Tasks[[#This Row],[Task Name]]="","",IF(Tasks[[#This Row],[_IsSummary]],MAX(INDEX(Tasks[_ShownFcstFinish],Tasks[[#This Row],[_Row]]+1):INDEX(Tasks[_ShownFcstFinish],Tasks[[#This Row],[_Row]]+Tasks[[#This Row],[_Descendants]])),Tasks[[#This Row],[_ShownFcstFinish]]))</f>
        <v/>
      </c>
      <c r="AC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 s="25" t="str">
        <f aca="false">IF(Tasks[[#This Row],[Task Name]]="","",IF(Tasks[[#This Row],[_IsSummary]],MIN(INDEX(Tasks[_LeafLateStart],Tasks[[#This Row],[_Row]]+1):INDEX(Tasks[_LeafLateStart],Tasks[[#This Row],[_Row]]+Tasks[[#This Row],[_Descendants]])),Tasks[[#This Row],[_LeafLateStart]]))</f>
        <v/>
      </c>
      <c r="AF8" s="25" t="str">
        <f aca="false">IF(Tasks[[#This Row],[Task Name]]="","",IF(Tasks[[#This Row],[_IsSummary]],MAX(INDEX(Tasks[_LeafLateFinish],Tasks[[#This Row],[_Row]]+1):INDEX(Tasks[_LeafLateFinish],Tasks[[#This Row],[_Row]]+Tasks[[#This Row],[_Descendants]])),Tasks[[#This Row],[_LeafLateFinish]]))</f>
        <v/>
      </c>
      <c r="AG8" s="28" t="str">
        <f aca="false">IF(Tasks[[#This Row],[Task Name]]="","",IF(Tasks[[#This Row],[_IsSummary]],MIN(INDEX(Tasks[_LeafTotalSlack],Tasks[[#This Row],[_Row]]+1):INDEX(Tasks[_LeafTotalSlack],Tasks[[#This Row],[_Row]]+Tasks[[#This Row],[_Descendants]])),Tasks[[#This Row],[_LeafTotalSlack]]))</f>
        <v/>
      </c>
      <c r="AH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 s="28" t="str">
        <f aca="false">IF(Tasks[[#This Row],[Task Name]]="","",IF(IF(Tasks[[#This Row],[_IsSummary]],COUNTIF(INDEX(Tasks[_LeafCritical],Tasks[[#This Row],[_Row]]+1):INDEX(Tasks[_LeafCritical],Tasks[[#This Row],[_Row]]+Tasks[[#This Row],[_Descendants]]),TRUE())&gt;0,Tasks[[#This Row],[_LeafCritical]]),"Yes",""))</f>
        <v/>
      </c>
      <c r="AJ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 s="89"/>
      <c r="AM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 s="28" t="str">
        <f aca="false">IF(Tasks[[#This Row],[Task Name]]="","",IF(Tasks[[#This Row],[Progress]]&gt;=1,"Complete",IF(OR(N(Tasks[[#This Row],[Actual Start]])&gt;0,Tasks[[#This Row],[Progress]]&gt;0),IF(Tasks[[#This Row],[Finish Var]]&gt;0,"Behind","In Progress"),IF(Tasks[[#This Row],[Planned Start]]&lt;StatusDate,"Late Start","Not Started"))))</f>
        <v/>
      </c>
      <c r="AO8" s="30"/>
      <c r="AP8" s="89"/>
      <c r="AQ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 s="96" t="str">
        <f aca="false">IF(Tasks[[#This Row],[Task Name]]="","",IF(Tasks[[#This Row],[_IsSummary]],SUM(INDEX(Tasks[_LeafTotalWork],Tasks[[#This Row],[_Row]]+1):INDEX(Tasks[_LeafTotalWork],Tasks[[#This Row],[_Row]]+Tasks[[#This Row],[_Descendants]])),Tasks[[#This Row],[_LeafTotalWork]]))</f>
        <v/>
      </c>
      <c r="AT8" s="97" t="str">
        <f aca="false">IF(Tasks[[#This Row],[Task Name]]="","",IF(Tasks[[#This Row],[_IsSummary]],SUM(INDEX(Tasks[_LeafTotalCost],Tasks[[#This Row],[_Row]]+1):INDEX(Tasks[_LeafTotalCost],Tasks[[#This Row],[_Row]]+Tasks[[#This Row],[_Descendants]])),Tasks[[#This Row],[_LeafTotalCost]]))</f>
        <v/>
      </c>
      <c r="AU8" s="98"/>
      <c r="AV8" s="29"/>
      <c r="AW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 s="83"/>
      <c r="AY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 s="30"/>
      <c r="BA8" s="25" t="str">
        <f aca="false">IF(Tasks[[#This Row],[Task Name]]="","",Tasks[[#This Row],[Forecast Start]])</f>
        <v/>
      </c>
      <c r="BB8" s="25" t="str">
        <f aca="false">IF(Tasks[[#This Row],[Task Name]]="","",Tasks[[#This Row],[Forecast Finish]])</f>
        <v/>
      </c>
      <c r="BC8" s="28" t="str">
        <f aca="false">IF(Tasks[[#This Row],[Task Name]]="","",IF(Tasks[[#This Row],[_IsSummary]],NETWORKDAYS.INTL(Tasks[[#This Row],[Forecast Start]],Tasks[[#This Row],[Forecast Finish]],WorkWeek,Holidays),N(Tasks[[#This Row],[Duration]])))</f>
        <v/>
      </c>
      <c r="BD8" s="96" t="str">
        <f aca="false">IF(Tasks[[#This Row],[Task Name]]="","",Tasks[[#This Row],[Work]])</f>
        <v/>
      </c>
      <c r="BE8" s="97" t="str">
        <f aca="false">IF(Tasks[[#This Row],[Task Name]]="","",Tasks[[#This Row],[Cost]])</f>
        <v/>
      </c>
      <c r="BF8" s="75"/>
      <c r="BG8" s="75"/>
      <c r="BH8" s="29"/>
      <c r="BI8" s="99"/>
      <c r="BJ8" s="98"/>
      <c r="BK8" s="28" t="str">
        <f aca="false">IF(OR(Tasks[[#This Row],[Task Name]]="",Tasks[[#This Row],[Baseline Duration]]=""),"",Tasks[[#This Row],[BL Source Duration]]-N(Tasks[[#This Row],[Baseline Duration]]))</f>
        <v/>
      </c>
      <c r="BL8" s="96" t="str">
        <f aca="false">IF(OR(Tasks[[#This Row],[Task Name]]="",Tasks[[#This Row],[Baseline Work]]=""),"",Tasks[[#This Row],[Work]]-N(Tasks[[#This Row],[Baseline Work]]))</f>
        <v/>
      </c>
      <c r="BM8" s="97" t="str">
        <f aca="false">IF(OR(Tasks[[#This Row],[Task Name]]="",Tasks[[#This Row],[Baseline Cost]]=""),"",Tasks[[#This Row],[Cost]]-N(Tasks[[#This Row],[Baseline Cost]]))</f>
        <v/>
      </c>
      <c r="BN8" s="97" t="str">
        <f aca="false">IF(Tasks[[#This Row],[Task Name]]="","",IF(Tasks[[#This Row],[_IsSummary]],SUM(INDEX(Tasks[_LeafBudget],Tasks[[#This Row],[_Row]]+1):INDEX(Tasks[_LeafBudget],Tasks[[#This Row],[_Row]]+Tasks[[#This Row],[_Descendants]])),Tasks[[#This Row],[_LeafBudget]]))</f>
        <v/>
      </c>
      <c r="BO8" s="97" t="str">
        <f aca="false">IF(Tasks[[#This Row],[Task Name]]="","",IF(Tasks[[#This Row],[_IsSummary]],SUM(INDEX(Tasks[_LeafPV],Tasks[[#This Row],[_Row]]+1):INDEX(Tasks[_LeafPV],Tasks[[#This Row],[_Row]]+Tasks[[#This Row],[_Descendants]])),Tasks[[#This Row],[_LeafPV]]))</f>
        <v/>
      </c>
      <c r="BP8" s="97" t="str">
        <f aca="false">IF(Tasks[[#This Row],[Task Name]]="","",IF(Tasks[[#This Row],[_IsSummary]],SUM(INDEX(Tasks[_LeafEV],Tasks[[#This Row],[_Row]]+1):INDEX(Tasks[_LeafEV],Tasks[[#This Row],[_Row]]+Tasks[[#This Row],[_Descendants]])),Tasks[[#This Row],[_LeafEV]]))</f>
        <v/>
      </c>
      <c r="BQ8" s="97" t="str">
        <f aca="false">IF(Tasks[[#This Row],[Task Name]]="","",IF(Tasks[[#This Row],[_IsSummary]],SUM(INDEX(Tasks[_LeafAC],Tasks[[#This Row],[_Row]]+1):INDEX(Tasks[_LeafAC],Tasks[[#This Row],[_Row]]+Tasks[[#This Row],[_Descendants]])),Tasks[[#This Row],[_LeafAC]]))</f>
        <v/>
      </c>
      <c r="BR8" s="41" t="str">
        <f aca="false">IF(Tasks[[#This Row],[Task Name]]="","",MAX(1,N(Tasks[[#This Row],[Level]])))</f>
        <v/>
      </c>
      <c r="BS8" s="41" t="n">
        <f aca="false">ROW()-ROW(Tasks[[#Headers],[ID]])</f>
        <v>3</v>
      </c>
      <c r="BT8" s="41" t="n">
        <f aca="false">IF(OR(Tasks[[#This Row],[Task Name]]="",Tasks[[#This Row],[_Level]]&lt;=1),0,IFERROR(LOOKUP(2,1/(Tasks[[#Headers],[_Level]]:Tasks[[#This Row],[_Level]]=Tasks[[#This Row],[_Level]]-1),ROW(Tasks[[#Headers],[_Level]]:Tasks[[#This Row],[_Level]])),0))</f>
        <v>0</v>
      </c>
      <c r="BU8" s="41" t="n">
        <f aca="false">IFERROR(N(INDEX(Tasks[_Level],Tasks[[#This Row],[_Row]]+1)),0)</f>
        <v>0</v>
      </c>
      <c r="BV8" s="100" t="b">
        <f aca="false">AND(Tasks[[#This Row],[Task Name]]&lt;&gt;"",Tasks[[#This Row],[_NextLevel]]&gt;Tasks[[#This Row],[_Level]])</f>
        <v>0</v>
      </c>
      <c r="BW8" s="41" t="n">
        <f aca="false">IF(Tasks[[#This Row],[_IsSummary]],COUNTIF(Tasks[WBS],Tasks[[#This Row],[WBS]]&amp;".*"),0)</f>
        <v>0</v>
      </c>
      <c r="BX8" s="41" t="n">
        <f aca="false">IF(AND(Tasks[[#This Row],[Task Name]]&lt;&gt;"",NOT(Tasks[[#This Row],[_IsSummary]])),1,0)</f>
        <v>0</v>
      </c>
      <c r="BY8" s="41" t="n">
        <f aca="false">IF(N(Tasks[[#This Row],[Pred1 UID]])=0,0,IFERROR(MATCH(Tasks[[#This Row],[Pred1 UID]],Tasks[UID],0),-1))</f>
        <v>0</v>
      </c>
      <c r="BZ8" s="41" t="n">
        <f aca="false">IF(N(Tasks[[#This Row],[Pred2 UID]])=0,0,IFERROR(MATCH(Tasks[[#This Row],[Pred2 UID]],Tasks[UID],0),-1))</f>
        <v>0</v>
      </c>
      <c r="CA8" s="41" t="n">
        <f aca="false">IF(N(Tasks[[#This Row],[Pred3 UID]])=0,0,IFERROR(MATCH(Tasks[[#This Row],[Pred3 UID]],Tasks[UID],0),-1))</f>
        <v>0</v>
      </c>
      <c r="CB8" s="41" t="n">
        <f aca="false">IF(N(Tasks[[#This Row],[Pred4 UID]])=0,0,IFERROR(MATCH(Tasks[[#This Row],[Pred4 UID]],Tasks[UID],0),-1))</f>
        <v>0</v>
      </c>
      <c r="CC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 s="101" t="n">
        <f aca="false">IF(OR(Tasks[[#This Row],[_ConstraintCode]]=2,Tasks[[#This Row],[_ConstraintCode]]=3,Tasks[[#This Row],[_ConstraintCode]]=4,Tasks[[#This Row],[_ConstraintCode]]=6),Tasks[[#This Row],[_ConstraintStart]],0)</f>
        <v>0</v>
      </c>
      <c r="CF8" s="101" t="n">
        <f aca="false">IF(OR(Tasks[[#This Row],[_ConstraintCode]]=2,Tasks[[#This Row],[_ConstraintCode]]=3,Tasks[[#This Row],[_ConstraintCode]]=5,Tasks[[#This Row],[_ConstraintCode]]=7),Tasks[[#This Row],[_ConstraintStart]],2958465)</f>
        <v>2958465</v>
      </c>
      <c r="CG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 s="101" t="str">
        <f aca="false">IF(NOT(Tasks[[#This Row],[_IsLeaf]]=1),"",IF(N(Tasks[[#This Row],[Duration]])&lt;=0,Tasks[[#This Row],[_LeafCalcStart]],WORKDAY.INTL(Tasks[[#This Row],[_LeafCalcStart]],Tasks[[#This Row],[Duration]]-1,WorkWeek,Holidays)))</f>
        <v/>
      </c>
      <c r="CI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 s="41" t="n">
        <f aca="false">IF(NOT(Tasks[[#This Row],[_IsLeaf]]=1),0,IF(N(Tasks[[#This Row],[Actual Finish]])&gt;0,1,MIN(1,N(Tasks[[#This Row],[% Complete]]))))</f>
        <v>0</v>
      </c>
      <c r="CL8" s="41" t="n">
        <f aca="false">IF(OR(NOT(Tasks[[#This Row],[_IsLeaf]]=1),Tasks[[#This Row],[Resource]]=""),0,N(Tasks[[#This Row],[Duration]])*HoursPerDay*IF(Tasks[[#This Row],[Units]]="",DefaultUnits,Tasks[[#This Row],[Units]]))</f>
        <v>0</v>
      </c>
      <c r="CM8" s="41" t="n">
        <f aca="false">IF(Tasks[[#This Row],[_LeafWork]]=0,0,Tasks[[#This Row],[_LeafWork]]*IFERROR(INDEX(res_Rate,MATCH(Tasks[[#This Row],[Resource]],res_Name,0)),0))</f>
        <v>0</v>
      </c>
      <c r="CN8" s="41" t="n">
        <f aca="false">Tasks[[#This Row],[_LeafWork]]+IF(Tasks[[#This Row],[_IsLeaf]]=1,SUMIFS(asg_Work,asg_TaskUID,Tasks[[#This Row],[UID]],asg_Valid,1),0)</f>
        <v>0</v>
      </c>
      <c r="CO8" s="41" t="n">
        <f aca="false">Tasks[[#This Row],[_LeafCost]]+IF(Tasks[[#This Row],[_IsLeaf]]=1,SUMIFS(asg_Cost,asg_TaskUID,Tasks[[#This Row],[UID]],asg_Valid,1),0)</f>
        <v>0</v>
      </c>
      <c r="CP8" s="41" t="n">
        <f aca="false">IF(Tasks[[#This Row],[_LeafTotalCost]]=0,Tasks[[#This Row],[_LeafAC]],Tasks[[#This Row],[_LeafAC]]*Tasks[[#This Row],[_LeafCost]]/Tasks[[#This Row],[_LeafTotalCost]])</f>
        <v>0</v>
      </c>
      <c r="CQ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 s="41" t="n">
        <f aca="false">IF(NOT(Tasks[[#This Row],[_IsLeaf]]=1),0,MAX(_xlfn.MAXIFS(Tasks[_Row],Tasks[Pred1 UID],Tasks[[#This Row],[UID]]),_xlfn.MAXIFS(Tasks[_Row],Tasks[Pred2 UID],Tasks[[#This Row],[UID]]),_xlfn.MAXIFS(Tasks[_Row],Tasks[Pred3 UID],Tasks[[#This Row],[UID]]),_xlfn.MAXIFS(Tasks[_Row],Tasks[Pred4 UID],Tasks[[#This Row],[UID]])))</f>
        <v>0</v>
      </c>
      <c r="CZ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 s="101" t="str">
        <f aca="false">IF(NOT(Tasks[[#This Row],[_IsLeaf]]=1),"",IF(N(Tasks[[#This Row],[Duration]])&lt;=0,Tasks[[#This Row],[_LeafLateFinish]],WORKDAY.INTL(Tasks[[#This Row],[_LeafLateFinish]],-(Tasks[[#This Row],[Duration]]-1),WorkWeek,Holidays)))</f>
        <v/>
      </c>
      <c r="DC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 s="100" t="b">
        <f aca="false">AND(Tasks[[#This Row],[_IsLeaf]]=1,Tasks[[#This Row],[_LeafProgress]]&lt;1,N(Tasks[[#This Row],[_LeafTotalSlack]])&lt;=CriticalSlackDays)</f>
        <v>0</v>
      </c>
      <c r="DE8" s="41" t="n">
        <f aca="false">IF(AND(Tasks[[#This Row],[_IsLeaf]]=1,Tasks[[#This Row],[_ConstraintCode]]=1,Tasks[[#This Row],[Mode]]&lt;&gt;"Manual",N(Tasks[[#This Row],[Actual Start]])=0),MAX(0,N(Tasks[[#This Row],[Free Slack]])),0)</f>
        <v>0</v>
      </c>
      <c r="DF8" s="101" t="str">
        <f aca="false">IF(NOT(Tasks[[#This Row],[_IsLeaf]]=1),"",IF(Tasks[[#This Row],[_AlapShift]]=0,Tasks[[#This Row],[_LeafCalcStart]],WORKDAY.INTL(Tasks[[#This Row],[_LeafCalcStart]],Tasks[[#This Row],[_AlapShift]],WorkWeek,Holidays)))</f>
        <v/>
      </c>
      <c r="DG8" s="101" t="str">
        <f aca="false">IF(NOT(Tasks[[#This Row],[_IsLeaf]]=1),"",IF(Tasks[[#This Row],[_AlapShift]]=0,Tasks[[#This Row],[_LeafCalcFinish]],WORKDAY.INTL(Tasks[[#This Row],[_LeafCalcFinish]],Tasks[[#This Row],[_AlapShift]],WorkWeek,Holidays)))</f>
        <v/>
      </c>
      <c r="DH8" s="101" t="str">
        <f aca="false">IF(NOT(Tasks[[#This Row],[_IsLeaf]]=1),"",IF(Tasks[[#This Row],[_AlapShift]]=0,Tasks[[#This Row],[_LeafFcstStart]],WORKDAY.INTL(Tasks[[#This Row],[_LeafFcstStart]],Tasks[[#This Row],[_AlapShift]],WorkWeek,Holidays)))</f>
        <v/>
      </c>
      <c r="DI8" s="101" t="str">
        <f aca="false">IF(NOT(Tasks[[#This Row],[_IsLeaf]]=1),"",IF(Tasks[[#This Row],[_AlapShift]]=0,Tasks[[#This Row],[_LeafFcstFinish]],WORKDAY.INTL(Tasks[[#This Row],[_LeafFcstFinish]],Tasks[[#This Row],[_AlapShift]],WorkWeek,Holidays)))</f>
        <v/>
      </c>
      <c r="DJ8" s="101" t="str">
        <f aca="false">IF(Tasks[[#This Row],[Task Name]]="","",IF(Tasks[[#This Row],[_IsSummary]],MIN(INDEX(Tasks[_ShownCalcStart],Tasks[[#This Row],[_Row]]+1):INDEX(Tasks[_ShownCalcStart],Tasks[[#This Row],[_Row]]+Tasks[[#This Row],[_Descendants]])),Tasks[[#This Row],[_ShownCalcStart]]))</f>
        <v/>
      </c>
      <c r="DK8" s="101" t="str">
        <f aca="false">IF(Tasks[[#This Row],[Task Name]]="","",IF(Tasks[[#This Row],[_IsSummary]],MAX(INDEX(Tasks[_ShownCalcFinish],Tasks[[#This Row],[_Row]]+1):INDEX(Tasks[_ShownCalcFinish],Tasks[[#This Row],[_Row]]+Tasks[[#This Row],[_Descendants]])),Tasks[[#This Row],[_ShownCalcFinish]]))</f>
        <v/>
      </c>
      <c r="D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 s="41" t="n">
        <f aca="false">IF(AND(Tasks[[#This Row],[_IsLeaf]]=1,Tasks[[#This Row],[_LeafTotalWork]]&gt;0),NETWORKDAYS.INTL(ProjectStart,Tasks[[#This Row],[_ShownFcstStart]],WorkWeek,Holidays),0)</f>
        <v>0</v>
      </c>
      <c r="DY8" s="41" t="n">
        <f aca="false">IF(AND(Tasks[[#This Row],[_IsLeaf]]=1,Tasks[[#This Row],[_LeafTotalWork]]&gt;0),MAX(Tasks[[#This Row],[_StartWorkday]],NETWORKDAYS.INTL(ProjectStart,Tasks[[#This Row],[_ShownFcstFinish]],WorkWeek,Holidays)),0)</f>
        <v>0</v>
      </c>
      <c r="DZ8" s="41" t="n">
        <f aca="false">IF(AND(Tasks[[#This Row],[_IsLeaf]]=1,Tasks[[#This Row],[_LeafTotalWork]]&gt;0),Tasks[[#This Row],[_LeafWork]]/(Tasks[[#This Row],[_FinishWorkday]]-Tasks[[#This Row],[_StartWorkday]]+1),0)</f>
        <v>0</v>
      </c>
      <c r="EA8" s="41" t="n">
        <f aca="false">Tasks[[#This Row],[_WorkPerWorkday]]*(Tasks[[#This Row],[_StartWorkday]]-1)</f>
        <v>-0</v>
      </c>
      <c r="EB8" s="41" t="n">
        <f aca="false">IF(Tasks[[#This Row],[_IsLeaf]]=1,MAX(N(Tasks[[#This Row],[Duration]]),0.1),0)</f>
        <v>0</v>
      </c>
      <c r="EC8" s="41" t="n">
        <f aca="false">Tasks[[#This Row],[_WeightDur]]*Tasks[[#This Row],[_LeafProgress]]</f>
        <v>0</v>
      </c>
      <c r="ED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 s="41" t="str">
        <f aca="false">IF(AND(Tasks[[#This Row],[_IsLeaf]]=1,N(Tasks[[#This Row],[Duration]])=0,Tasks[[#This Row],[_LeafProgress]]&lt;1),Tasks[[#This Row],[_ShownFcstFinish]]+Tasks[[#This Row],[_Row]]/100000,"")</f>
        <v/>
      </c>
      <c r="EF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 s="41" t="n">
        <f aca="false">IF(NOT(Tasks[[#This Row],[_IsLeaf]]=1),0,IF(Tasks[[#This Row],[Baseline Cost]]="",Tasks[[#This Row],[_LeafTotalCost]],N(Tasks[[#This Row],[Baseline Cost]])))</f>
        <v>0</v>
      </c>
      <c r="EH8" s="41" t="n">
        <f aca="false">Tasks[[#This Row],[_LeafBudget]]*Tasks[[#This Row],[_PlannedPct]]</f>
        <v>0</v>
      </c>
      <c r="EI8" s="41" t="n">
        <f aca="false">Tasks[[#This Row],[_LeafBudget]]*Tasks[[#This Row],[_LeafProgress]]</f>
        <v>0</v>
      </c>
      <c r="EJ8" s="41" t="n">
        <f aca="false">IF(NOT(Tasks[[#This Row],[_IsLeaf]]=1),0,IF(Tasks[[#This Row],[Actual Cost]]="",Tasks[[#This Row],[_LeafTotalCost]]*Tasks[[#This Row],[_LeafProgress]],N(Tasks[[#This Row],[Actual Cost]])))</f>
        <v>0</v>
      </c>
      <c r="EK8" s="41" t="str">
        <f aca="false">IF(Tasks[[#This Row],[Task Name]]="","",LEFT(Tasks[[#This Row],[WBS]],FIND(".",Tasks[[#This Row],[WBS]]&amp;".")-1))</f>
        <v/>
      </c>
      <c r="EL8" s="41" t="str">
        <f aca="false">IF(AND(Tasks[[#This Row],[Task Name]]&lt;&gt;"",Tasks[[#This Row],[_Level]]=1),Tasks[[#This Row],[_Row]],"")</f>
        <v/>
      </c>
      <c r="EM8" s="41" t="str">
        <f aca="false">IF(AND(Tasks[[#This Row],[_IsLeaf]]=1,N(Tasks[[#This Row],[Duration]])=0),Tasks[[#This Row],[Planned Finish]]+Tasks[[#This Row],[_Row]]/100000,"")</f>
        <v/>
      </c>
      <c r="EN8" s="41" t="str">
        <f aca="false">IF(AND(Tasks[[#This Row],[_IsLeaf]]=1,Tasks[[#This Row],[_LeafProgress]]&lt;1,OR(N(Tasks[[#This Row],[Finish Var]])&gt;0,Tasks[[#This Row],[Status]]="Late Start")),MAX(0,Tasks[[#This Row],[Finish Var]])+1-Tasks[[#This Row],[_Row]]/1000000,"")</f>
        <v/>
      </c>
      <c r="EO8" s="41" t="str">
        <f aca="false">IF(AND(Tasks[[#This Row],[_IsLeaf]]=1,N(Tasks[[#This Row],[Actual Start]])=0,Tasks[[#This Row],[_ShownFcstStart]]&gt;=StatusDate,Tasks[[#This Row],[_ShownFcstStart]]&lt;=LookaheadEnd),Tasks[[#This Row],[_ShownFcstStart]]+Tasks[[#This Row],[_Row]]/100000,"")</f>
        <v/>
      </c>
      <c r="EP8" s="41" t="str">
        <f aca="false">IF(AND(Tasks[[#This Row],[_IsLeaf]]=1,Tasks[[#This Row],[_LeafProgress]]&lt;1,Tasks[[#This Row],[_ShownFcstFinish]]&gt;=StatusDate,Tasks[[#This Row],[_ShownFcstFinish]]&lt;=LookaheadEnd),Tasks[[#This Row],[_ShownFcstFinish]]+Tasks[[#This Row],[_Row]]/100000,"")</f>
        <v/>
      </c>
      <c r="EQ8" s="41" t="str">
        <f aca="false">IF(Tasks[[#This Row],[_LeafCritical]],Tasks[[#This Row],[_ShownFcstStart]]+Tasks[[#This Row],[_Row]]/100000,"")</f>
        <v/>
      </c>
      <c r="ER8" s="41" t="n">
        <f aca="false">Tasks[[#This Row],[_LeafWork]]*Tasks[[#This Row],[_LeafProgress]]</f>
        <v>0</v>
      </c>
      <c r="ES8" s="101" t="str">
        <f aca="false">IF(AND(Tasks[[#This Row],[_IsLeaf]]=1,Tasks[[#This Row],[_LeafProgress]]&gt;=1),IF(N(Tasks[[#This Row],[Actual Finish]])&gt;0,Tasks[[#This Row],[Actual Finish]],Tasks[[#This Row],[_ShownFcstFinish]]),"")</f>
        <v/>
      </c>
      <c r="ET8" s="41" t="n">
        <f aca="false">IF(Tasks[[#This Row],[_IsLeaf]]=1,N(Tasks[[#This Row],[Story Points]]),0)</f>
        <v>0</v>
      </c>
      <c r="EU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29"/>
      <c r="O9" s="29"/>
      <c r="P9" s="29"/>
      <c r="Q9" s="29"/>
      <c r="R9" s="29"/>
      <c r="S9" s="29"/>
      <c r="T9" s="30"/>
      <c r="U9" s="75"/>
      <c r="V9" s="75"/>
      <c r="W9" s="25" t="str">
        <f aca="false">IF(Tasks[[#This Row],[Task Name]]="","",IF(N(Tasks[[#This Row],[Baseline Start]])&gt;0,Tasks[[#This Row],[Baseline Start]],Tasks[[#This Row],[_CalcStart]]))</f>
        <v/>
      </c>
      <c r="X9" s="25" t="str">
        <f aca="false">IF(Tasks[[#This Row],[Task Name]]="","",IF(N(Tasks[[#This Row],[Baseline Finish]])&gt;0,Tasks[[#This Row],[Baseline Finish]],Tasks[[#This Row],[_CalcFinish]]))</f>
        <v/>
      </c>
      <c r="Y9" s="75"/>
      <c r="Z9" s="75"/>
      <c r="AA9" s="25" t="str">
        <f aca="false">IF(Tasks[[#This Row],[Task Name]]="","",IF(Tasks[[#This Row],[_IsSummary]],MIN(INDEX(Tasks[_ShownFcstStart],Tasks[[#This Row],[_Row]]+1):INDEX(Tasks[_ShownFcstStart],Tasks[[#This Row],[_Row]]+Tasks[[#This Row],[_Descendants]])),Tasks[[#This Row],[_ShownFcstStart]]))</f>
        <v/>
      </c>
      <c r="AB9" s="25" t="str">
        <f aca="false">IF(Tasks[[#This Row],[Task Name]]="","",IF(Tasks[[#This Row],[_IsSummary]],MAX(INDEX(Tasks[_ShownFcstFinish],Tasks[[#This Row],[_Row]]+1):INDEX(Tasks[_ShownFcstFinish],Tasks[[#This Row],[_Row]]+Tasks[[#This Row],[_Descendants]])),Tasks[[#This Row],[_ShownFcstFinish]]))</f>
        <v/>
      </c>
      <c r="AC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 s="25" t="str">
        <f aca="false">IF(Tasks[[#This Row],[Task Name]]="","",IF(Tasks[[#This Row],[_IsSummary]],MIN(INDEX(Tasks[_LeafLateStart],Tasks[[#This Row],[_Row]]+1):INDEX(Tasks[_LeafLateStart],Tasks[[#This Row],[_Row]]+Tasks[[#This Row],[_Descendants]])),Tasks[[#This Row],[_LeafLateStart]]))</f>
        <v/>
      </c>
      <c r="AF9" s="25" t="str">
        <f aca="false">IF(Tasks[[#This Row],[Task Name]]="","",IF(Tasks[[#This Row],[_IsSummary]],MAX(INDEX(Tasks[_LeafLateFinish],Tasks[[#This Row],[_Row]]+1):INDEX(Tasks[_LeafLateFinish],Tasks[[#This Row],[_Row]]+Tasks[[#This Row],[_Descendants]])),Tasks[[#This Row],[_LeafLateFinish]]))</f>
        <v/>
      </c>
      <c r="AG9" s="28" t="str">
        <f aca="false">IF(Tasks[[#This Row],[Task Name]]="","",IF(Tasks[[#This Row],[_IsSummary]],MIN(INDEX(Tasks[_LeafTotalSlack],Tasks[[#This Row],[_Row]]+1):INDEX(Tasks[_LeafTotalSlack],Tasks[[#This Row],[_Row]]+Tasks[[#This Row],[_Descendants]])),Tasks[[#This Row],[_LeafTotalSlack]]))</f>
        <v/>
      </c>
      <c r="AH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 s="28" t="str">
        <f aca="false">IF(Tasks[[#This Row],[Task Name]]="","",IF(IF(Tasks[[#This Row],[_IsSummary]],COUNTIF(INDEX(Tasks[_LeafCritical],Tasks[[#This Row],[_Row]]+1):INDEX(Tasks[_LeafCritical],Tasks[[#This Row],[_Row]]+Tasks[[#This Row],[_Descendants]]),TRUE())&gt;0,Tasks[[#This Row],[_LeafCritical]]),"Yes",""))</f>
        <v/>
      </c>
      <c r="AJ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 s="89"/>
      <c r="AM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 s="28" t="str">
        <f aca="false">IF(Tasks[[#This Row],[Task Name]]="","",IF(Tasks[[#This Row],[Progress]]&gt;=1,"Complete",IF(OR(N(Tasks[[#This Row],[Actual Start]])&gt;0,Tasks[[#This Row],[Progress]]&gt;0),IF(Tasks[[#This Row],[Finish Var]]&gt;0,"Behind","In Progress"),IF(Tasks[[#This Row],[Planned Start]]&lt;StatusDate,"Late Start","Not Started"))))</f>
        <v/>
      </c>
      <c r="AO9" s="30"/>
      <c r="AP9" s="89"/>
      <c r="AQ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 s="96" t="str">
        <f aca="false">IF(Tasks[[#This Row],[Task Name]]="","",IF(Tasks[[#This Row],[_IsSummary]],SUM(INDEX(Tasks[_LeafTotalWork],Tasks[[#This Row],[_Row]]+1):INDEX(Tasks[_LeafTotalWork],Tasks[[#This Row],[_Row]]+Tasks[[#This Row],[_Descendants]])),Tasks[[#This Row],[_LeafTotalWork]]))</f>
        <v/>
      </c>
      <c r="AT9" s="97" t="str">
        <f aca="false">IF(Tasks[[#This Row],[Task Name]]="","",IF(Tasks[[#This Row],[_IsSummary]],SUM(INDEX(Tasks[_LeafTotalCost],Tasks[[#This Row],[_Row]]+1):INDEX(Tasks[_LeafTotalCost],Tasks[[#This Row],[_Row]]+Tasks[[#This Row],[_Descendants]])),Tasks[[#This Row],[_LeafTotalCost]]))</f>
        <v/>
      </c>
      <c r="AU9" s="98"/>
      <c r="AV9" s="29"/>
      <c r="AW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 s="83"/>
      <c r="AY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 s="30"/>
      <c r="BA9" s="25" t="str">
        <f aca="false">IF(Tasks[[#This Row],[Task Name]]="","",Tasks[[#This Row],[Forecast Start]])</f>
        <v/>
      </c>
      <c r="BB9" s="25" t="str">
        <f aca="false">IF(Tasks[[#This Row],[Task Name]]="","",Tasks[[#This Row],[Forecast Finish]])</f>
        <v/>
      </c>
      <c r="BC9" s="28" t="str">
        <f aca="false">IF(Tasks[[#This Row],[Task Name]]="","",IF(Tasks[[#This Row],[_IsSummary]],NETWORKDAYS.INTL(Tasks[[#This Row],[Forecast Start]],Tasks[[#This Row],[Forecast Finish]],WorkWeek,Holidays),N(Tasks[[#This Row],[Duration]])))</f>
        <v/>
      </c>
      <c r="BD9" s="96" t="str">
        <f aca="false">IF(Tasks[[#This Row],[Task Name]]="","",Tasks[[#This Row],[Work]])</f>
        <v/>
      </c>
      <c r="BE9" s="97" t="str">
        <f aca="false">IF(Tasks[[#This Row],[Task Name]]="","",Tasks[[#This Row],[Cost]])</f>
        <v/>
      </c>
      <c r="BF9" s="75"/>
      <c r="BG9" s="75"/>
      <c r="BH9" s="29"/>
      <c r="BI9" s="99"/>
      <c r="BJ9" s="98"/>
      <c r="BK9" s="28" t="str">
        <f aca="false">IF(OR(Tasks[[#This Row],[Task Name]]="",Tasks[[#This Row],[Baseline Duration]]=""),"",Tasks[[#This Row],[BL Source Duration]]-N(Tasks[[#This Row],[Baseline Duration]]))</f>
        <v/>
      </c>
      <c r="BL9" s="96" t="str">
        <f aca="false">IF(OR(Tasks[[#This Row],[Task Name]]="",Tasks[[#This Row],[Baseline Work]]=""),"",Tasks[[#This Row],[Work]]-N(Tasks[[#This Row],[Baseline Work]]))</f>
        <v/>
      </c>
      <c r="BM9" s="97" t="str">
        <f aca="false">IF(OR(Tasks[[#This Row],[Task Name]]="",Tasks[[#This Row],[Baseline Cost]]=""),"",Tasks[[#This Row],[Cost]]-N(Tasks[[#This Row],[Baseline Cost]]))</f>
        <v/>
      </c>
      <c r="BN9" s="97" t="str">
        <f aca="false">IF(Tasks[[#This Row],[Task Name]]="","",IF(Tasks[[#This Row],[_IsSummary]],SUM(INDEX(Tasks[_LeafBudget],Tasks[[#This Row],[_Row]]+1):INDEX(Tasks[_LeafBudget],Tasks[[#This Row],[_Row]]+Tasks[[#This Row],[_Descendants]])),Tasks[[#This Row],[_LeafBudget]]))</f>
        <v/>
      </c>
      <c r="BO9" s="97" t="str">
        <f aca="false">IF(Tasks[[#This Row],[Task Name]]="","",IF(Tasks[[#This Row],[_IsSummary]],SUM(INDEX(Tasks[_LeafPV],Tasks[[#This Row],[_Row]]+1):INDEX(Tasks[_LeafPV],Tasks[[#This Row],[_Row]]+Tasks[[#This Row],[_Descendants]])),Tasks[[#This Row],[_LeafPV]]))</f>
        <v/>
      </c>
      <c r="BP9" s="97" t="str">
        <f aca="false">IF(Tasks[[#This Row],[Task Name]]="","",IF(Tasks[[#This Row],[_IsSummary]],SUM(INDEX(Tasks[_LeafEV],Tasks[[#This Row],[_Row]]+1):INDEX(Tasks[_LeafEV],Tasks[[#This Row],[_Row]]+Tasks[[#This Row],[_Descendants]])),Tasks[[#This Row],[_LeafEV]]))</f>
        <v/>
      </c>
      <c r="BQ9" s="97" t="str">
        <f aca="false">IF(Tasks[[#This Row],[Task Name]]="","",IF(Tasks[[#This Row],[_IsSummary]],SUM(INDEX(Tasks[_LeafAC],Tasks[[#This Row],[_Row]]+1):INDEX(Tasks[_LeafAC],Tasks[[#This Row],[_Row]]+Tasks[[#This Row],[_Descendants]])),Tasks[[#This Row],[_LeafAC]]))</f>
        <v/>
      </c>
      <c r="BR9" s="41" t="str">
        <f aca="false">IF(Tasks[[#This Row],[Task Name]]="","",MAX(1,N(Tasks[[#This Row],[Level]])))</f>
        <v/>
      </c>
      <c r="BS9" s="41" t="n">
        <f aca="false">ROW()-ROW(Tasks[[#Headers],[ID]])</f>
        <v>4</v>
      </c>
      <c r="BT9" s="41" t="n">
        <f aca="false">IF(OR(Tasks[[#This Row],[Task Name]]="",Tasks[[#This Row],[_Level]]&lt;=1),0,IFERROR(LOOKUP(2,1/(Tasks[[#Headers],[_Level]]:Tasks[[#This Row],[_Level]]=Tasks[[#This Row],[_Level]]-1),ROW(Tasks[[#Headers],[_Level]]:Tasks[[#This Row],[_Level]])),0))</f>
        <v>0</v>
      </c>
      <c r="BU9" s="41" t="n">
        <f aca="false">IFERROR(N(INDEX(Tasks[_Level],Tasks[[#This Row],[_Row]]+1)),0)</f>
        <v>0</v>
      </c>
      <c r="BV9" s="100" t="b">
        <f aca="false">AND(Tasks[[#This Row],[Task Name]]&lt;&gt;"",Tasks[[#This Row],[_NextLevel]]&gt;Tasks[[#This Row],[_Level]])</f>
        <v>0</v>
      </c>
      <c r="BW9" s="41" t="n">
        <f aca="false">IF(Tasks[[#This Row],[_IsSummary]],COUNTIF(Tasks[WBS],Tasks[[#This Row],[WBS]]&amp;".*"),0)</f>
        <v>0</v>
      </c>
      <c r="BX9" s="41" t="n">
        <f aca="false">IF(AND(Tasks[[#This Row],[Task Name]]&lt;&gt;"",NOT(Tasks[[#This Row],[_IsSummary]])),1,0)</f>
        <v>0</v>
      </c>
      <c r="BY9" s="41" t="n">
        <f aca="false">IF(N(Tasks[[#This Row],[Pred1 UID]])=0,0,IFERROR(MATCH(Tasks[[#This Row],[Pred1 UID]],Tasks[UID],0),-1))</f>
        <v>0</v>
      </c>
      <c r="BZ9" s="41" t="n">
        <f aca="false">IF(N(Tasks[[#This Row],[Pred2 UID]])=0,0,IFERROR(MATCH(Tasks[[#This Row],[Pred2 UID]],Tasks[UID],0),-1))</f>
        <v>0</v>
      </c>
      <c r="CA9" s="41" t="n">
        <f aca="false">IF(N(Tasks[[#This Row],[Pred3 UID]])=0,0,IFERROR(MATCH(Tasks[[#This Row],[Pred3 UID]],Tasks[UID],0),-1))</f>
        <v>0</v>
      </c>
      <c r="CB9" s="41" t="n">
        <f aca="false">IF(N(Tasks[[#This Row],[Pred4 UID]])=0,0,IFERROR(MATCH(Tasks[[#This Row],[Pred4 UID]],Tasks[UID],0),-1))</f>
        <v>0</v>
      </c>
      <c r="CC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 s="101" t="n">
        <f aca="false">IF(OR(Tasks[[#This Row],[_ConstraintCode]]=2,Tasks[[#This Row],[_ConstraintCode]]=3,Tasks[[#This Row],[_ConstraintCode]]=4,Tasks[[#This Row],[_ConstraintCode]]=6),Tasks[[#This Row],[_ConstraintStart]],0)</f>
        <v>0</v>
      </c>
      <c r="CF9" s="101" t="n">
        <f aca="false">IF(OR(Tasks[[#This Row],[_ConstraintCode]]=2,Tasks[[#This Row],[_ConstraintCode]]=3,Tasks[[#This Row],[_ConstraintCode]]=5,Tasks[[#This Row],[_ConstraintCode]]=7),Tasks[[#This Row],[_ConstraintStart]],2958465)</f>
        <v>2958465</v>
      </c>
      <c r="CG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 s="101" t="str">
        <f aca="false">IF(NOT(Tasks[[#This Row],[_IsLeaf]]=1),"",IF(N(Tasks[[#This Row],[Duration]])&lt;=0,Tasks[[#This Row],[_LeafCalcStart]],WORKDAY.INTL(Tasks[[#This Row],[_LeafCalcStart]],Tasks[[#This Row],[Duration]]-1,WorkWeek,Holidays)))</f>
        <v/>
      </c>
      <c r="CI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 s="41" t="n">
        <f aca="false">IF(NOT(Tasks[[#This Row],[_IsLeaf]]=1),0,IF(N(Tasks[[#This Row],[Actual Finish]])&gt;0,1,MIN(1,N(Tasks[[#This Row],[% Complete]]))))</f>
        <v>0</v>
      </c>
      <c r="CL9" s="41" t="n">
        <f aca="false">IF(OR(NOT(Tasks[[#This Row],[_IsLeaf]]=1),Tasks[[#This Row],[Resource]]=""),0,N(Tasks[[#This Row],[Duration]])*HoursPerDay*IF(Tasks[[#This Row],[Units]]="",DefaultUnits,Tasks[[#This Row],[Units]]))</f>
        <v>0</v>
      </c>
      <c r="CM9" s="41" t="n">
        <f aca="false">IF(Tasks[[#This Row],[_LeafWork]]=0,0,Tasks[[#This Row],[_LeafWork]]*IFERROR(INDEX(res_Rate,MATCH(Tasks[[#This Row],[Resource]],res_Name,0)),0))</f>
        <v>0</v>
      </c>
      <c r="CN9" s="41" t="n">
        <f aca="false">Tasks[[#This Row],[_LeafWork]]+IF(Tasks[[#This Row],[_IsLeaf]]=1,SUMIFS(asg_Work,asg_TaskUID,Tasks[[#This Row],[UID]],asg_Valid,1),0)</f>
        <v>0</v>
      </c>
      <c r="CO9" s="41" t="n">
        <f aca="false">Tasks[[#This Row],[_LeafCost]]+IF(Tasks[[#This Row],[_IsLeaf]]=1,SUMIFS(asg_Cost,asg_TaskUID,Tasks[[#This Row],[UID]],asg_Valid,1),0)</f>
        <v>0</v>
      </c>
      <c r="CP9" s="41" t="n">
        <f aca="false">IF(Tasks[[#This Row],[_LeafTotalCost]]=0,Tasks[[#This Row],[_LeafAC]],Tasks[[#This Row],[_LeafAC]]*Tasks[[#This Row],[_LeafCost]]/Tasks[[#This Row],[_LeafTotalCost]])</f>
        <v>0</v>
      </c>
      <c r="CQ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 s="41" t="n">
        <f aca="false">IF(NOT(Tasks[[#This Row],[_IsLeaf]]=1),0,MAX(_xlfn.MAXIFS(Tasks[_Row],Tasks[Pred1 UID],Tasks[[#This Row],[UID]]),_xlfn.MAXIFS(Tasks[_Row],Tasks[Pred2 UID],Tasks[[#This Row],[UID]]),_xlfn.MAXIFS(Tasks[_Row],Tasks[Pred3 UID],Tasks[[#This Row],[UID]]),_xlfn.MAXIFS(Tasks[_Row],Tasks[Pred4 UID],Tasks[[#This Row],[UID]])))</f>
        <v>0</v>
      </c>
      <c r="CZ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 s="101" t="str">
        <f aca="false">IF(NOT(Tasks[[#This Row],[_IsLeaf]]=1),"",IF(N(Tasks[[#This Row],[Duration]])&lt;=0,Tasks[[#This Row],[_LeafLateFinish]],WORKDAY.INTL(Tasks[[#This Row],[_LeafLateFinish]],-(Tasks[[#This Row],[Duration]]-1),WorkWeek,Holidays)))</f>
        <v/>
      </c>
      <c r="DC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 s="100" t="b">
        <f aca="false">AND(Tasks[[#This Row],[_IsLeaf]]=1,Tasks[[#This Row],[_LeafProgress]]&lt;1,N(Tasks[[#This Row],[_LeafTotalSlack]])&lt;=CriticalSlackDays)</f>
        <v>0</v>
      </c>
      <c r="DE9" s="41" t="n">
        <f aca="false">IF(AND(Tasks[[#This Row],[_IsLeaf]]=1,Tasks[[#This Row],[_ConstraintCode]]=1,Tasks[[#This Row],[Mode]]&lt;&gt;"Manual",N(Tasks[[#This Row],[Actual Start]])=0),MAX(0,N(Tasks[[#This Row],[Free Slack]])),0)</f>
        <v>0</v>
      </c>
      <c r="DF9" s="101" t="str">
        <f aca="false">IF(NOT(Tasks[[#This Row],[_IsLeaf]]=1),"",IF(Tasks[[#This Row],[_AlapShift]]=0,Tasks[[#This Row],[_LeafCalcStart]],WORKDAY.INTL(Tasks[[#This Row],[_LeafCalcStart]],Tasks[[#This Row],[_AlapShift]],WorkWeek,Holidays)))</f>
        <v/>
      </c>
      <c r="DG9" s="101" t="str">
        <f aca="false">IF(NOT(Tasks[[#This Row],[_IsLeaf]]=1),"",IF(Tasks[[#This Row],[_AlapShift]]=0,Tasks[[#This Row],[_LeafCalcFinish]],WORKDAY.INTL(Tasks[[#This Row],[_LeafCalcFinish]],Tasks[[#This Row],[_AlapShift]],WorkWeek,Holidays)))</f>
        <v/>
      </c>
      <c r="DH9" s="101" t="str">
        <f aca="false">IF(NOT(Tasks[[#This Row],[_IsLeaf]]=1),"",IF(Tasks[[#This Row],[_AlapShift]]=0,Tasks[[#This Row],[_LeafFcstStart]],WORKDAY.INTL(Tasks[[#This Row],[_LeafFcstStart]],Tasks[[#This Row],[_AlapShift]],WorkWeek,Holidays)))</f>
        <v/>
      </c>
      <c r="DI9" s="101" t="str">
        <f aca="false">IF(NOT(Tasks[[#This Row],[_IsLeaf]]=1),"",IF(Tasks[[#This Row],[_AlapShift]]=0,Tasks[[#This Row],[_LeafFcstFinish]],WORKDAY.INTL(Tasks[[#This Row],[_LeafFcstFinish]],Tasks[[#This Row],[_AlapShift]],WorkWeek,Holidays)))</f>
        <v/>
      </c>
      <c r="DJ9" s="101" t="str">
        <f aca="false">IF(Tasks[[#This Row],[Task Name]]="","",IF(Tasks[[#This Row],[_IsSummary]],MIN(INDEX(Tasks[_ShownCalcStart],Tasks[[#This Row],[_Row]]+1):INDEX(Tasks[_ShownCalcStart],Tasks[[#This Row],[_Row]]+Tasks[[#This Row],[_Descendants]])),Tasks[[#This Row],[_ShownCalcStart]]))</f>
        <v/>
      </c>
      <c r="DK9" s="101" t="str">
        <f aca="false">IF(Tasks[[#This Row],[Task Name]]="","",IF(Tasks[[#This Row],[_IsSummary]],MAX(INDEX(Tasks[_ShownCalcFinish],Tasks[[#This Row],[_Row]]+1):INDEX(Tasks[_ShownCalcFinish],Tasks[[#This Row],[_Row]]+Tasks[[#This Row],[_Descendants]])),Tasks[[#This Row],[_ShownCalcFinish]]))</f>
        <v/>
      </c>
      <c r="D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 s="41" t="n">
        <f aca="false">IF(AND(Tasks[[#This Row],[_IsLeaf]]=1,Tasks[[#This Row],[_LeafTotalWork]]&gt;0),NETWORKDAYS.INTL(ProjectStart,Tasks[[#This Row],[_ShownFcstStart]],WorkWeek,Holidays),0)</f>
        <v>0</v>
      </c>
      <c r="DY9" s="41" t="n">
        <f aca="false">IF(AND(Tasks[[#This Row],[_IsLeaf]]=1,Tasks[[#This Row],[_LeafTotalWork]]&gt;0),MAX(Tasks[[#This Row],[_StartWorkday]],NETWORKDAYS.INTL(ProjectStart,Tasks[[#This Row],[_ShownFcstFinish]],WorkWeek,Holidays)),0)</f>
        <v>0</v>
      </c>
      <c r="DZ9" s="41" t="n">
        <f aca="false">IF(AND(Tasks[[#This Row],[_IsLeaf]]=1,Tasks[[#This Row],[_LeafTotalWork]]&gt;0),Tasks[[#This Row],[_LeafWork]]/(Tasks[[#This Row],[_FinishWorkday]]-Tasks[[#This Row],[_StartWorkday]]+1),0)</f>
        <v>0</v>
      </c>
      <c r="EA9" s="41" t="n">
        <f aca="false">Tasks[[#This Row],[_WorkPerWorkday]]*(Tasks[[#This Row],[_StartWorkday]]-1)</f>
        <v>-0</v>
      </c>
      <c r="EB9" s="41" t="n">
        <f aca="false">IF(Tasks[[#This Row],[_IsLeaf]]=1,MAX(N(Tasks[[#This Row],[Duration]]),0.1),0)</f>
        <v>0</v>
      </c>
      <c r="EC9" s="41" t="n">
        <f aca="false">Tasks[[#This Row],[_WeightDur]]*Tasks[[#This Row],[_LeafProgress]]</f>
        <v>0</v>
      </c>
      <c r="ED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 s="41" t="str">
        <f aca="false">IF(AND(Tasks[[#This Row],[_IsLeaf]]=1,N(Tasks[[#This Row],[Duration]])=0,Tasks[[#This Row],[_LeafProgress]]&lt;1),Tasks[[#This Row],[_ShownFcstFinish]]+Tasks[[#This Row],[_Row]]/100000,"")</f>
        <v/>
      </c>
      <c r="EF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 s="41" t="n">
        <f aca="false">IF(NOT(Tasks[[#This Row],[_IsLeaf]]=1),0,IF(Tasks[[#This Row],[Baseline Cost]]="",Tasks[[#This Row],[_LeafTotalCost]],N(Tasks[[#This Row],[Baseline Cost]])))</f>
        <v>0</v>
      </c>
      <c r="EH9" s="41" t="n">
        <f aca="false">Tasks[[#This Row],[_LeafBudget]]*Tasks[[#This Row],[_PlannedPct]]</f>
        <v>0</v>
      </c>
      <c r="EI9" s="41" t="n">
        <f aca="false">Tasks[[#This Row],[_LeafBudget]]*Tasks[[#This Row],[_LeafProgress]]</f>
        <v>0</v>
      </c>
      <c r="EJ9" s="41" t="n">
        <f aca="false">IF(NOT(Tasks[[#This Row],[_IsLeaf]]=1),0,IF(Tasks[[#This Row],[Actual Cost]]="",Tasks[[#This Row],[_LeafTotalCost]]*Tasks[[#This Row],[_LeafProgress]],N(Tasks[[#This Row],[Actual Cost]])))</f>
        <v>0</v>
      </c>
      <c r="EK9" s="41" t="str">
        <f aca="false">IF(Tasks[[#This Row],[Task Name]]="","",LEFT(Tasks[[#This Row],[WBS]],FIND(".",Tasks[[#This Row],[WBS]]&amp;".")-1))</f>
        <v/>
      </c>
      <c r="EL9" s="41" t="str">
        <f aca="false">IF(AND(Tasks[[#This Row],[Task Name]]&lt;&gt;"",Tasks[[#This Row],[_Level]]=1),Tasks[[#This Row],[_Row]],"")</f>
        <v/>
      </c>
      <c r="EM9" s="41" t="str">
        <f aca="false">IF(AND(Tasks[[#This Row],[_IsLeaf]]=1,N(Tasks[[#This Row],[Duration]])=0),Tasks[[#This Row],[Planned Finish]]+Tasks[[#This Row],[_Row]]/100000,"")</f>
        <v/>
      </c>
      <c r="EN9" s="41" t="str">
        <f aca="false">IF(AND(Tasks[[#This Row],[_IsLeaf]]=1,Tasks[[#This Row],[_LeafProgress]]&lt;1,OR(N(Tasks[[#This Row],[Finish Var]])&gt;0,Tasks[[#This Row],[Status]]="Late Start")),MAX(0,Tasks[[#This Row],[Finish Var]])+1-Tasks[[#This Row],[_Row]]/1000000,"")</f>
        <v/>
      </c>
      <c r="EO9" s="41" t="str">
        <f aca="false">IF(AND(Tasks[[#This Row],[_IsLeaf]]=1,N(Tasks[[#This Row],[Actual Start]])=0,Tasks[[#This Row],[_ShownFcstStart]]&gt;=StatusDate,Tasks[[#This Row],[_ShownFcstStart]]&lt;=LookaheadEnd),Tasks[[#This Row],[_ShownFcstStart]]+Tasks[[#This Row],[_Row]]/100000,"")</f>
        <v/>
      </c>
      <c r="EP9" s="41" t="str">
        <f aca="false">IF(AND(Tasks[[#This Row],[_IsLeaf]]=1,Tasks[[#This Row],[_LeafProgress]]&lt;1,Tasks[[#This Row],[_ShownFcstFinish]]&gt;=StatusDate,Tasks[[#This Row],[_ShownFcstFinish]]&lt;=LookaheadEnd),Tasks[[#This Row],[_ShownFcstFinish]]+Tasks[[#This Row],[_Row]]/100000,"")</f>
        <v/>
      </c>
      <c r="EQ9" s="41" t="str">
        <f aca="false">IF(Tasks[[#This Row],[_LeafCritical]],Tasks[[#This Row],[_ShownFcstStart]]+Tasks[[#This Row],[_Row]]/100000,"")</f>
        <v/>
      </c>
      <c r="ER9" s="41" t="n">
        <f aca="false">Tasks[[#This Row],[_LeafWork]]*Tasks[[#This Row],[_LeafProgress]]</f>
        <v>0</v>
      </c>
      <c r="ES9" s="101" t="str">
        <f aca="false">IF(AND(Tasks[[#This Row],[_IsLeaf]]=1,Tasks[[#This Row],[_LeafProgress]]&gt;=1),IF(N(Tasks[[#This Row],[Actual Finish]])&gt;0,Tasks[[#This Row],[Actual Finish]],Tasks[[#This Row],[_ShownFcstFinish]]),"")</f>
        <v/>
      </c>
      <c r="ET9" s="41" t="n">
        <f aca="false">IF(Tasks[[#This Row],[_IsLeaf]]=1,N(Tasks[[#This Row],[Story Points]]),0)</f>
        <v>0</v>
      </c>
      <c r="EU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29"/>
      <c r="O10" s="29"/>
      <c r="P10" s="29"/>
      <c r="Q10" s="29"/>
      <c r="R10" s="29"/>
      <c r="S10" s="29"/>
      <c r="T10" s="30"/>
      <c r="U10" s="75"/>
      <c r="V10" s="75"/>
      <c r="W10" s="25" t="str">
        <f aca="false">IF(Tasks[[#This Row],[Task Name]]="","",IF(N(Tasks[[#This Row],[Baseline Start]])&gt;0,Tasks[[#This Row],[Baseline Start]],Tasks[[#This Row],[_CalcStart]]))</f>
        <v/>
      </c>
      <c r="X10" s="25" t="str">
        <f aca="false">IF(Tasks[[#This Row],[Task Name]]="","",IF(N(Tasks[[#This Row],[Baseline Finish]])&gt;0,Tasks[[#This Row],[Baseline Finish]],Tasks[[#This Row],[_CalcFinish]]))</f>
        <v/>
      </c>
      <c r="Y10" s="75"/>
      <c r="Z10" s="75"/>
      <c r="AA10" s="25" t="str">
        <f aca="false">IF(Tasks[[#This Row],[Task Name]]="","",IF(Tasks[[#This Row],[_IsSummary]],MIN(INDEX(Tasks[_ShownFcstStart],Tasks[[#This Row],[_Row]]+1):INDEX(Tasks[_ShownFcstStart],Tasks[[#This Row],[_Row]]+Tasks[[#This Row],[_Descendants]])),Tasks[[#This Row],[_ShownFcstStart]]))</f>
        <v/>
      </c>
      <c r="AB10" s="25" t="str">
        <f aca="false">IF(Tasks[[#This Row],[Task Name]]="","",IF(Tasks[[#This Row],[_IsSummary]],MAX(INDEX(Tasks[_ShownFcstFinish],Tasks[[#This Row],[_Row]]+1):INDEX(Tasks[_ShownFcstFinish],Tasks[[#This Row],[_Row]]+Tasks[[#This Row],[_Descendants]])),Tasks[[#This Row],[_ShownFcstFinish]]))</f>
        <v/>
      </c>
      <c r="AC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 s="25" t="str">
        <f aca="false">IF(Tasks[[#This Row],[Task Name]]="","",IF(Tasks[[#This Row],[_IsSummary]],MIN(INDEX(Tasks[_LeafLateStart],Tasks[[#This Row],[_Row]]+1):INDEX(Tasks[_LeafLateStart],Tasks[[#This Row],[_Row]]+Tasks[[#This Row],[_Descendants]])),Tasks[[#This Row],[_LeafLateStart]]))</f>
        <v/>
      </c>
      <c r="AF10" s="25" t="str">
        <f aca="false">IF(Tasks[[#This Row],[Task Name]]="","",IF(Tasks[[#This Row],[_IsSummary]],MAX(INDEX(Tasks[_LeafLateFinish],Tasks[[#This Row],[_Row]]+1):INDEX(Tasks[_LeafLateFinish],Tasks[[#This Row],[_Row]]+Tasks[[#This Row],[_Descendants]])),Tasks[[#This Row],[_LeafLateFinish]]))</f>
        <v/>
      </c>
      <c r="AG10" s="28" t="str">
        <f aca="false">IF(Tasks[[#This Row],[Task Name]]="","",IF(Tasks[[#This Row],[_IsSummary]],MIN(INDEX(Tasks[_LeafTotalSlack],Tasks[[#This Row],[_Row]]+1):INDEX(Tasks[_LeafTotalSlack],Tasks[[#This Row],[_Row]]+Tasks[[#This Row],[_Descendants]])),Tasks[[#This Row],[_LeafTotalSlack]]))</f>
        <v/>
      </c>
      <c r="AH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 s="28" t="str">
        <f aca="false">IF(Tasks[[#This Row],[Task Name]]="","",IF(IF(Tasks[[#This Row],[_IsSummary]],COUNTIF(INDEX(Tasks[_LeafCritical],Tasks[[#This Row],[_Row]]+1):INDEX(Tasks[_LeafCritical],Tasks[[#This Row],[_Row]]+Tasks[[#This Row],[_Descendants]]),TRUE())&gt;0,Tasks[[#This Row],[_LeafCritical]]),"Yes",""))</f>
        <v/>
      </c>
      <c r="AJ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 s="89"/>
      <c r="AM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 s="28" t="str">
        <f aca="false">IF(Tasks[[#This Row],[Task Name]]="","",IF(Tasks[[#This Row],[Progress]]&gt;=1,"Complete",IF(OR(N(Tasks[[#This Row],[Actual Start]])&gt;0,Tasks[[#This Row],[Progress]]&gt;0),IF(Tasks[[#This Row],[Finish Var]]&gt;0,"Behind","In Progress"),IF(Tasks[[#This Row],[Planned Start]]&lt;StatusDate,"Late Start","Not Started"))))</f>
        <v/>
      </c>
      <c r="AO10" s="30"/>
      <c r="AP10" s="89"/>
      <c r="AQ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 s="96" t="str">
        <f aca="false">IF(Tasks[[#This Row],[Task Name]]="","",IF(Tasks[[#This Row],[_IsSummary]],SUM(INDEX(Tasks[_LeafTotalWork],Tasks[[#This Row],[_Row]]+1):INDEX(Tasks[_LeafTotalWork],Tasks[[#This Row],[_Row]]+Tasks[[#This Row],[_Descendants]])),Tasks[[#This Row],[_LeafTotalWork]]))</f>
        <v/>
      </c>
      <c r="AT10" s="97" t="str">
        <f aca="false">IF(Tasks[[#This Row],[Task Name]]="","",IF(Tasks[[#This Row],[_IsSummary]],SUM(INDEX(Tasks[_LeafTotalCost],Tasks[[#This Row],[_Row]]+1):INDEX(Tasks[_LeafTotalCost],Tasks[[#This Row],[_Row]]+Tasks[[#This Row],[_Descendants]])),Tasks[[#This Row],[_LeafTotalCost]]))</f>
        <v/>
      </c>
      <c r="AU10" s="98"/>
      <c r="AV10" s="29"/>
      <c r="AW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 s="83"/>
      <c r="AY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 s="30"/>
      <c r="BA10" s="25" t="str">
        <f aca="false">IF(Tasks[[#This Row],[Task Name]]="","",Tasks[[#This Row],[Forecast Start]])</f>
        <v/>
      </c>
      <c r="BB10" s="25" t="str">
        <f aca="false">IF(Tasks[[#This Row],[Task Name]]="","",Tasks[[#This Row],[Forecast Finish]])</f>
        <v/>
      </c>
      <c r="BC10" s="28" t="str">
        <f aca="false">IF(Tasks[[#This Row],[Task Name]]="","",IF(Tasks[[#This Row],[_IsSummary]],NETWORKDAYS.INTL(Tasks[[#This Row],[Forecast Start]],Tasks[[#This Row],[Forecast Finish]],WorkWeek,Holidays),N(Tasks[[#This Row],[Duration]])))</f>
        <v/>
      </c>
      <c r="BD10" s="96" t="str">
        <f aca="false">IF(Tasks[[#This Row],[Task Name]]="","",Tasks[[#This Row],[Work]])</f>
        <v/>
      </c>
      <c r="BE10" s="97" t="str">
        <f aca="false">IF(Tasks[[#This Row],[Task Name]]="","",Tasks[[#This Row],[Cost]])</f>
        <v/>
      </c>
      <c r="BF10" s="75"/>
      <c r="BG10" s="75"/>
      <c r="BH10" s="29"/>
      <c r="BI10" s="99"/>
      <c r="BJ10" s="98"/>
      <c r="BK10" s="28" t="str">
        <f aca="false">IF(OR(Tasks[[#This Row],[Task Name]]="",Tasks[[#This Row],[Baseline Duration]]=""),"",Tasks[[#This Row],[BL Source Duration]]-N(Tasks[[#This Row],[Baseline Duration]]))</f>
        <v/>
      </c>
      <c r="BL10" s="96" t="str">
        <f aca="false">IF(OR(Tasks[[#This Row],[Task Name]]="",Tasks[[#This Row],[Baseline Work]]=""),"",Tasks[[#This Row],[Work]]-N(Tasks[[#This Row],[Baseline Work]]))</f>
        <v/>
      </c>
      <c r="BM10" s="97" t="str">
        <f aca="false">IF(OR(Tasks[[#This Row],[Task Name]]="",Tasks[[#This Row],[Baseline Cost]]=""),"",Tasks[[#This Row],[Cost]]-N(Tasks[[#This Row],[Baseline Cost]]))</f>
        <v/>
      </c>
      <c r="BN10" s="97" t="str">
        <f aca="false">IF(Tasks[[#This Row],[Task Name]]="","",IF(Tasks[[#This Row],[_IsSummary]],SUM(INDEX(Tasks[_LeafBudget],Tasks[[#This Row],[_Row]]+1):INDEX(Tasks[_LeafBudget],Tasks[[#This Row],[_Row]]+Tasks[[#This Row],[_Descendants]])),Tasks[[#This Row],[_LeafBudget]]))</f>
        <v/>
      </c>
      <c r="BO10" s="97" t="str">
        <f aca="false">IF(Tasks[[#This Row],[Task Name]]="","",IF(Tasks[[#This Row],[_IsSummary]],SUM(INDEX(Tasks[_LeafPV],Tasks[[#This Row],[_Row]]+1):INDEX(Tasks[_LeafPV],Tasks[[#This Row],[_Row]]+Tasks[[#This Row],[_Descendants]])),Tasks[[#This Row],[_LeafPV]]))</f>
        <v/>
      </c>
      <c r="BP10" s="97" t="str">
        <f aca="false">IF(Tasks[[#This Row],[Task Name]]="","",IF(Tasks[[#This Row],[_IsSummary]],SUM(INDEX(Tasks[_LeafEV],Tasks[[#This Row],[_Row]]+1):INDEX(Tasks[_LeafEV],Tasks[[#This Row],[_Row]]+Tasks[[#This Row],[_Descendants]])),Tasks[[#This Row],[_LeafEV]]))</f>
        <v/>
      </c>
      <c r="BQ10" s="97" t="str">
        <f aca="false">IF(Tasks[[#This Row],[Task Name]]="","",IF(Tasks[[#This Row],[_IsSummary]],SUM(INDEX(Tasks[_LeafAC],Tasks[[#This Row],[_Row]]+1):INDEX(Tasks[_LeafAC],Tasks[[#This Row],[_Row]]+Tasks[[#This Row],[_Descendants]])),Tasks[[#This Row],[_LeafAC]]))</f>
        <v/>
      </c>
      <c r="BR10" s="41" t="str">
        <f aca="false">IF(Tasks[[#This Row],[Task Name]]="","",MAX(1,N(Tasks[[#This Row],[Level]])))</f>
        <v/>
      </c>
      <c r="BS10" s="41" t="n">
        <f aca="false">ROW()-ROW(Tasks[[#Headers],[ID]])</f>
        <v>5</v>
      </c>
      <c r="BT10" s="41" t="n">
        <f aca="false">IF(OR(Tasks[[#This Row],[Task Name]]="",Tasks[[#This Row],[_Level]]&lt;=1),0,IFERROR(LOOKUP(2,1/(Tasks[[#Headers],[_Level]]:Tasks[[#This Row],[_Level]]=Tasks[[#This Row],[_Level]]-1),ROW(Tasks[[#Headers],[_Level]]:Tasks[[#This Row],[_Level]])),0))</f>
        <v>0</v>
      </c>
      <c r="BU10" s="41" t="n">
        <f aca="false">IFERROR(N(INDEX(Tasks[_Level],Tasks[[#This Row],[_Row]]+1)),0)</f>
        <v>0</v>
      </c>
      <c r="BV10" s="100" t="b">
        <f aca="false">AND(Tasks[[#This Row],[Task Name]]&lt;&gt;"",Tasks[[#This Row],[_NextLevel]]&gt;Tasks[[#This Row],[_Level]])</f>
        <v>0</v>
      </c>
      <c r="BW10" s="41" t="n">
        <f aca="false">IF(Tasks[[#This Row],[_IsSummary]],COUNTIF(Tasks[WBS],Tasks[[#This Row],[WBS]]&amp;".*"),0)</f>
        <v>0</v>
      </c>
      <c r="BX10" s="41" t="n">
        <f aca="false">IF(AND(Tasks[[#This Row],[Task Name]]&lt;&gt;"",NOT(Tasks[[#This Row],[_IsSummary]])),1,0)</f>
        <v>0</v>
      </c>
      <c r="BY10" s="41" t="n">
        <f aca="false">IF(N(Tasks[[#This Row],[Pred1 UID]])=0,0,IFERROR(MATCH(Tasks[[#This Row],[Pred1 UID]],Tasks[UID],0),-1))</f>
        <v>0</v>
      </c>
      <c r="BZ10" s="41" t="n">
        <f aca="false">IF(N(Tasks[[#This Row],[Pred2 UID]])=0,0,IFERROR(MATCH(Tasks[[#This Row],[Pred2 UID]],Tasks[UID],0),-1))</f>
        <v>0</v>
      </c>
      <c r="CA10" s="41" t="n">
        <f aca="false">IF(N(Tasks[[#This Row],[Pred3 UID]])=0,0,IFERROR(MATCH(Tasks[[#This Row],[Pred3 UID]],Tasks[UID],0),-1))</f>
        <v>0</v>
      </c>
      <c r="CB10" s="41" t="n">
        <f aca="false">IF(N(Tasks[[#This Row],[Pred4 UID]])=0,0,IFERROR(MATCH(Tasks[[#This Row],[Pred4 UID]],Tasks[UID],0),-1))</f>
        <v>0</v>
      </c>
      <c r="CC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 s="101" t="n">
        <f aca="false">IF(OR(Tasks[[#This Row],[_ConstraintCode]]=2,Tasks[[#This Row],[_ConstraintCode]]=3,Tasks[[#This Row],[_ConstraintCode]]=4,Tasks[[#This Row],[_ConstraintCode]]=6),Tasks[[#This Row],[_ConstraintStart]],0)</f>
        <v>0</v>
      </c>
      <c r="CF10" s="101" t="n">
        <f aca="false">IF(OR(Tasks[[#This Row],[_ConstraintCode]]=2,Tasks[[#This Row],[_ConstraintCode]]=3,Tasks[[#This Row],[_ConstraintCode]]=5,Tasks[[#This Row],[_ConstraintCode]]=7),Tasks[[#This Row],[_ConstraintStart]],2958465)</f>
        <v>2958465</v>
      </c>
      <c r="CG1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 s="101" t="str">
        <f aca="false">IF(NOT(Tasks[[#This Row],[_IsLeaf]]=1),"",IF(N(Tasks[[#This Row],[Duration]])&lt;=0,Tasks[[#This Row],[_LeafCalcStart]],WORKDAY.INTL(Tasks[[#This Row],[_LeafCalcStart]],Tasks[[#This Row],[Duration]]-1,WorkWeek,Holidays)))</f>
        <v/>
      </c>
      <c r="CI1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 s="41" t="n">
        <f aca="false">IF(NOT(Tasks[[#This Row],[_IsLeaf]]=1),0,IF(N(Tasks[[#This Row],[Actual Finish]])&gt;0,1,MIN(1,N(Tasks[[#This Row],[% Complete]]))))</f>
        <v>0</v>
      </c>
      <c r="CL10" s="41" t="n">
        <f aca="false">IF(OR(NOT(Tasks[[#This Row],[_IsLeaf]]=1),Tasks[[#This Row],[Resource]]=""),0,N(Tasks[[#This Row],[Duration]])*HoursPerDay*IF(Tasks[[#This Row],[Units]]="",DefaultUnits,Tasks[[#This Row],[Units]]))</f>
        <v>0</v>
      </c>
      <c r="CM10" s="41" t="n">
        <f aca="false">IF(Tasks[[#This Row],[_LeafWork]]=0,0,Tasks[[#This Row],[_LeafWork]]*IFERROR(INDEX(res_Rate,MATCH(Tasks[[#This Row],[Resource]],res_Name,0)),0))</f>
        <v>0</v>
      </c>
      <c r="CN10" s="41" t="n">
        <f aca="false">Tasks[[#This Row],[_LeafWork]]+IF(Tasks[[#This Row],[_IsLeaf]]=1,SUMIFS(asg_Work,asg_TaskUID,Tasks[[#This Row],[UID]],asg_Valid,1),0)</f>
        <v>0</v>
      </c>
      <c r="CO10" s="41" t="n">
        <f aca="false">Tasks[[#This Row],[_LeafCost]]+IF(Tasks[[#This Row],[_IsLeaf]]=1,SUMIFS(asg_Cost,asg_TaskUID,Tasks[[#This Row],[UID]],asg_Valid,1),0)</f>
        <v>0</v>
      </c>
      <c r="CP10" s="41" t="n">
        <f aca="false">IF(Tasks[[#This Row],[_LeafTotalCost]]=0,Tasks[[#This Row],[_LeafAC]],Tasks[[#This Row],[_LeafAC]]*Tasks[[#This Row],[_LeafCost]]/Tasks[[#This Row],[_LeafTotalCost]])</f>
        <v>0</v>
      </c>
      <c r="CQ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 s="41" t="n">
        <f aca="false">IF(NOT(Tasks[[#This Row],[_IsLeaf]]=1),0,MAX(_xlfn.MAXIFS(Tasks[_Row],Tasks[Pred1 UID],Tasks[[#This Row],[UID]]),_xlfn.MAXIFS(Tasks[_Row],Tasks[Pred2 UID],Tasks[[#This Row],[UID]]),_xlfn.MAXIFS(Tasks[_Row],Tasks[Pred3 UID],Tasks[[#This Row],[UID]]),_xlfn.MAXIFS(Tasks[_Row],Tasks[Pred4 UID],Tasks[[#This Row],[UID]])))</f>
        <v>0</v>
      </c>
      <c r="CZ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 s="101" t="str">
        <f aca="false">IF(NOT(Tasks[[#This Row],[_IsLeaf]]=1),"",IF(N(Tasks[[#This Row],[Duration]])&lt;=0,Tasks[[#This Row],[_LeafLateFinish]],WORKDAY.INTL(Tasks[[#This Row],[_LeafLateFinish]],-(Tasks[[#This Row],[Duration]]-1),WorkWeek,Holidays)))</f>
        <v/>
      </c>
      <c r="DC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 s="100" t="b">
        <f aca="false">AND(Tasks[[#This Row],[_IsLeaf]]=1,Tasks[[#This Row],[_LeafProgress]]&lt;1,N(Tasks[[#This Row],[_LeafTotalSlack]])&lt;=CriticalSlackDays)</f>
        <v>0</v>
      </c>
      <c r="DE10" s="41" t="n">
        <f aca="false">IF(AND(Tasks[[#This Row],[_IsLeaf]]=1,Tasks[[#This Row],[_ConstraintCode]]=1,Tasks[[#This Row],[Mode]]&lt;&gt;"Manual",N(Tasks[[#This Row],[Actual Start]])=0),MAX(0,N(Tasks[[#This Row],[Free Slack]])),0)</f>
        <v>0</v>
      </c>
      <c r="DF10" s="101" t="str">
        <f aca="false">IF(NOT(Tasks[[#This Row],[_IsLeaf]]=1),"",IF(Tasks[[#This Row],[_AlapShift]]=0,Tasks[[#This Row],[_LeafCalcStart]],WORKDAY.INTL(Tasks[[#This Row],[_LeafCalcStart]],Tasks[[#This Row],[_AlapShift]],WorkWeek,Holidays)))</f>
        <v/>
      </c>
      <c r="DG10" s="101" t="str">
        <f aca="false">IF(NOT(Tasks[[#This Row],[_IsLeaf]]=1),"",IF(Tasks[[#This Row],[_AlapShift]]=0,Tasks[[#This Row],[_LeafCalcFinish]],WORKDAY.INTL(Tasks[[#This Row],[_LeafCalcFinish]],Tasks[[#This Row],[_AlapShift]],WorkWeek,Holidays)))</f>
        <v/>
      </c>
      <c r="DH10" s="101" t="str">
        <f aca="false">IF(NOT(Tasks[[#This Row],[_IsLeaf]]=1),"",IF(Tasks[[#This Row],[_AlapShift]]=0,Tasks[[#This Row],[_LeafFcstStart]],WORKDAY.INTL(Tasks[[#This Row],[_LeafFcstStart]],Tasks[[#This Row],[_AlapShift]],WorkWeek,Holidays)))</f>
        <v/>
      </c>
      <c r="DI10" s="101" t="str">
        <f aca="false">IF(NOT(Tasks[[#This Row],[_IsLeaf]]=1),"",IF(Tasks[[#This Row],[_AlapShift]]=0,Tasks[[#This Row],[_LeafFcstFinish]],WORKDAY.INTL(Tasks[[#This Row],[_LeafFcstFinish]],Tasks[[#This Row],[_AlapShift]],WorkWeek,Holidays)))</f>
        <v/>
      </c>
      <c r="DJ10" s="101" t="str">
        <f aca="false">IF(Tasks[[#This Row],[Task Name]]="","",IF(Tasks[[#This Row],[_IsSummary]],MIN(INDEX(Tasks[_ShownCalcStart],Tasks[[#This Row],[_Row]]+1):INDEX(Tasks[_ShownCalcStart],Tasks[[#This Row],[_Row]]+Tasks[[#This Row],[_Descendants]])),Tasks[[#This Row],[_ShownCalcStart]]))</f>
        <v/>
      </c>
      <c r="DK10" s="101" t="str">
        <f aca="false">IF(Tasks[[#This Row],[Task Name]]="","",IF(Tasks[[#This Row],[_IsSummary]],MAX(INDEX(Tasks[_ShownCalcFinish],Tasks[[#This Row],[_Row]]+1):INDEX(Tasks[_ShownCalcFinish],Tasks[[#This Row],[_Row]]+Tasks[[#This Row],[_Descendants]])),Tasks[[#This Row],[_ShownCalcFinish]]))</f>
        <v/>
      </c>
      <c r="D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 s="41" t="n">
        <f aca="false">IF(AND(Tasks[[#This Row],[_IsLeaf]]=1,Tasks[[#This Row],[_LeafTotalWork]]&gt;0),NETWORKDAYS.INTL(ProjectStart,Tasks[[#This Row],[_ShownFcstStart]],WorkWeek,Holidays),0)</f>
        <v>0</v>
      </c>
      <c r="DY10" s="41" t="n">
        <f aca="false">IF(AND(Tasks[[#This Row],[_IsLeaf]]=1,Tasks[[#This Row],[_LeafTotalWork]]&gt;0),MAX(Tasks[[#This Row],[_StartWorkday]],NETWORKDAYS.INTL(ProjectStart,Tasks[[#This Row],[_ShownFcstFinish]],WorkWeek,Holidays)),0)</f>
        <v>0</v>
      </c>
      <c r="DZ10" s="41" t="n">
        <f aca="false">IF(AND(Tasks[[#This Row],[_IsLeaf]]=1,Tasks[[#This Row],[_LeafTotalWork]]&gt;0),Tasks[[#This Row],[_LeafWork]]/(Tasks[[#This Row],[_FinishWorkday]]-Tasks[[#This Row],[_StartWorkday]]+1),0)</f>
        <v>0</v>
      </c>
      <c r="EA10" s="41" t="n">
        <f aca="false">Tasks[[#This Row],[_WorkPerWorkday]]*(Tasks[[#This Row],[_StartWorkday]]-1)</f>
        <v>-0</v>
      </c>
      <c r="EB10" s="41" t="n">
        <f aca="false">IF(Tasks[[#This Row],[_IsLeaf]]=1,MAX(N(Tasks[[#This Row],[Duration]]),0.1),0)</f>
        <v>0</v>
      </c>
      <c r="EC10" s="41" t="n">
        <f aca="false">Tasks[[#This Row],[_WeightDur]]*Tasks[[#This Row],[_LeafProgress]]</f>
        <v>0</v>
      </c>
      <c r="ED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 s="41" t="str">
        <f aca="false">IF(AND(Tasks[[#This Row],[_IsLeaf]]=1,N(Tasks[[#This Row],[Duration]])=0,Tasks[[#This Row],[_LeafProgress]]&lt;1),Tasks[[#This Row],[_ShownFcstFinish]]+Tasks[[#This Row],[_Row]]/100000,"")</f>
        <v/>
      </c>
      <c r="EF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 s="41" t="n">
        <f aca="false">IF(NOT(Tasks[[#This Row],[_IsLeaf]]=1),0,IF(Tasks[[#This Row],[Baseline Cost]]="",Tasks[[#This Row],[_LeafTotalCost]],N(Tasks[[#This Row],[Baseline Cost]])))</f>
        <v>0</v>
      </c>
      <c r="EH10" s="41" t="n">
        <f aca="false">Tasks[[#This Row],[_LeafBudget]]*Tasks[[#This Row],[_PlannedPct]]</f>
        <v>0</v>
      </c>
      <c r="EI10" s="41" t="n">
        <f aca="false">Tasks[[#This Row],[_LeafBudget]]*Tasks[[#This Row],[_LeafProgress]]</f>
        <v>0</v>
      </c>
      <c r="EJ10" s="41" t="n">
        <f aca="false">IF(NOT(Tasks[[#This Row],[_IsLeaf]]=1),0,IF(Tasks[[#This Row],[Actual Cost]]="",Tasks[[#This Row],[_LeafTotalCost]]*Tasks[[#This Row],[_LeafProgress]],N(Tasks[[#This Row],[Actual Cost]])))</f>
        <v>0</v>
      </c>
      <c r="EK10" s="41" t="str">
        <f aca="false">IF(Tasks[[#This Row],[Task Name]]="","",LEFT(Tasks[[#This Row],[WBS]],FIND(".",Tasks[[#This Row],[WBS]]&amp;".")-1))</f>
        <v/>
      </c>
      <c r="EL10" s="41" t="str">
        <f aca="false">IF(AND(Tasks[[#This Row],[Task Name]]&lt;&gt;"",Tasks[[#This Row],[_Level]]=1),Tasks[[#This Row],[_Row]],"")</f>
        <v/>
      </c>
      <c r="EM10" s="41" t="str">
        <f aca="false">IF(AND(Tasks[[#This Row],[_IsLeaf]]=1,N(Tasks[[#This Row],[Duration]])=0),Tasks[[#This Row],[Planned Finish]]+Tasks[[#This Row],[_Row]]/100000,"")</f>
        <v/>
      </c>
      <c r="EN10" s="41" t="str">
        <f aca="false">IF(AND(Tasks[[#This Row],[_IsLeaf]]=1,Tasks[[#This Row],[_LeafProgress]]&lt;1,OR(N(Tasks[[#This Row],[Finish Var]])&gt;0,Tasks[[#This Row],[Status]]="Late Start")),MAX(0,Tasks[[#This Row],[Finish Var]])+1-Tasks[[#This Row],[_Row]]/1000000,"")</f>
        <v/>
      </c>
      <c r="EO10" s="41" t="str">
        <f aca="false">IF(AND(Tasks[[#This Row],[_IsLeaf]]=1,N(Tasks[[#This Row],[Actual Start]])=0,Tasks[[#This Row],[_ShownFcstStart]]&gt;=StatusDate,Tasks[[#This Row],[_ShownFcstStart]]&lt;=LookaheadEnd),Tasks[[#This Row],[_ShownFcstStart]]+Tasks[[#This Row],[_Row]]/100000,"")</f>
        <v/>
      </c>
      <c r="EP10" s="41" t="str">
        <f aca="false">IF(AND(Tasks[[#This Row],[_IsLeaf]]=1,Tasks[[#This Row],[_LeafProgress]]&lt;1,Tasks[[#This Row],[_ShownFcstFinish]]&gt;=StatusDate,Tasks[[#This Row],[_ShownFcstFinish]]&lt;=LookaheadEnd),Tasks[[#This Row],[_ShownFcstFinish]]+Tasks[[#This Row],[_Row]]/100000,"")</f>
        <v/>
      </c>
      <c r="EQ10" s="41" t="str">
        <f aca="false">IF(Tasks[[#This Row],[_LeafCritical]],Tasks[[#This Row],[_ShownFcstStart]]+Tasks[[#This Row],[_Row]]/100000,"")</f>
        <v/>
      </c>
      <c r="ER10" s="41" t="n">
        <f aca="false">Tasks[[#This Row],[_LeafWork]]*Tasks[[#This Row],[_LeafProgress]]</f>
        <v>0</v>
      </c>
      <c r="ES10" s="101" t="str">
        <f aca="false">IF(AND(Tasks[[#This Row],[_IsLeaf]]=1,Tasks[[#This Row],[_LeafProgress]]&gt;=1),IF(N(Tasks[[#This Row],[Actual Finish]])&gt;0,Tasks[[#This Row],[Actual Finish]],Tasks[[#This Row],[_ShownFcstFinish]]),"")</f>
        <v/>
      </c>
      <c r="ET10" s="41" t="n">
        <f aca="false">IF(Tasks[[#This Row],[_IsLeaf]]=1,N(Tasks[[#This Row],[Story Points]]),0)</f>
        <v>0</v>
      </c>
      <c r="EU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29"/>
      <c r="O11" s="29"/>
      <c r="P11" s="29"/>
      <c r="Q11" s="29"/>
      <c r="R11" s="29"/>
      <c r="S11" s="29"/>
      <c r="T11" s="30"/>
      <c r="U11" s="75"/>
      <c r="V11" s="75"/>
      <c r="W11" s="25" t="str">
        <f aca="false">IF(Tasks[[#This Row],[Task Name]]="","",IF(N(Tasks[[#This Row],[Baseline Start]])&gt;0,Tasks[[#This Row],[Baseline Start]],Tasks[[#This Row],[_CalcStart]]))</f>
        <v/>
      </c>
      <c r="X11" s="25" t="str">
        <f aca="false">IF(Tasks[[#This Row],[Task Name]]="","",IF(N(Tasks[[#This Row],[Baseline Finish]])&gt;0,Tasks[[#This Row],[Baseline Finish]],Tasks[[#This Row],[_CalcFinish]]))</f>
        <v/>
      </c>
      <c r="Y11" s="75"/>
      <c r="Z11" s="75"/>
      <c r="AA11" s="25" t="str">
        <f aca="false">IF(Tasks[[#This Row],[Task Name]]="","",IF(Tasks[[#This Row],[_IsSummary]],MIN(INDEX(Tasks[_ShownFcstStart],Tasks[[#This Row],[_Row]]+1):INDEX(Tasks[_ShownFcstStart],Tasks[[#This Row],[_Row]]+Tasks[[#This Row],[_Descendants]])),Tasks[[#This Row],[_ShownFcstStart]]))</f>
        <v/>
      </c>
      <c r="AB11" s="25" t="str">
        <f aca="false">IF(Tasks[[#This Row],[Task Name]]="","",IF(Tasks[[#This Row],[_IsSummary]],MAX(INDEX(Tasks[_ShownFcstFinish],Tasks[[#This Row],[_Row]]+1):INDEX(Tasks[_ShownFcstFinish],Tasks[[#This Row],[_Row]]+Tasks[[#This Row],[_Descendants]])),Tasks[[#This Row],[_ShownFcstFinish]]))</f>
        <v/>
      </c>
      <c r="AC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 s="25" t="str">
        <f aca="false">IF(Tasks[[#This Row],[Task Name]]="","",IF(Tasks[[#This Row],[_IsSummary]],MIN(INDEX(Tasks[_LeafLateStart],Tasks[[#This Row],[_Row]]+1):INDEX(Tasks[_LeafLateStart],Tasks[[#This Row],[_Row]]+Tasks[[#This Row],[_Descendants]])),Tasks[[#This Row],[_LeafLateStart]]))</f>
        <v/>
      </c>
      <c r="AF11" s="25" t="str">
        <f aca="false">IF(Tasks[[#This Row],[Task Name]]="","",IF(Tasks[[#This Row],[_IsSummary]],MAX(INDEX(Tasks[_LeafLateFinish],Tasks[[#This Row],[_Row]]+1):INDEX(Tasks[_LeafLateFinish],Tasks[[#This Row],[_Row]]+Tasks[[#This Row],[_Descendants]])),Tasks[[#This Row],[_LeafLateFinish]]))</f>
        <v/>
      </c>
      <c r="AG11" s="28" t="str">
        <f aca="false">IF(Tasks[[#This Row],[Task Name]]="","",IF(Tasks[[#This Row],[_IsSummary]],MIN(INDEX(Tasks[_LeafTotalSlack],Tasks[[#This Row],[_Row]]+1):INDEX(Tasks[_LeafTotalSlack],Tasks[[#This Row],[_Row]]+Tasks[[#This Row],[_Descendants]])),Tasks[[#This Row],[_LeafTotalSlack]]))</f>
        <v/>
      </c>
      <c r="AH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 s="28" t="str">
        <f aca="false">IF(Tasks[[#This Row],[Task Name]]="","",IF(IF(Tasks[[#This Row],[_IsSummary]],COUNTIF(INDEX(Tasks[_LeafCritical],Tasks[[#This Row],[_Row]]+1):INDEX(Tasks[_LeafCritical],Tasks[[#This Row],[_Row]]+Tasks[[#This Row],[_Descendants]]),TRUE())&gt;0,Tasks[[#This Row],[_LeafCritical]]),"Yes",""))</f>
        <v/>
      </c>
      <c r="AJ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 s="89"/>
      <c r="AM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 s="28" t="str">
        <f aca="false">IF(Tasks[[#This Row],[Task Name]]="","",IF(Tasks[[#This Row],[Progress]]&gt;=1,"Complete",IF(OR(N(Tasks[[#This Row],[Actual Start]])&gt;0,Tasks[[#This Row],[Progress]]&gt;0),IF(Tasks[[#This Row],[Finish Var]]&gt;0,"Behind","In Progress"),IF(Tasks[[#This Row],[Planned Start]]&lt;StatusDate,"Late Start","Not Started"))))</f>
        <v/>
      </c>
      <c r="AO11" s="30"/>
      <c r="AP11" s="89"/>
      <c r="AQ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 s="96" t="str">
        <f aca="false">IF(Tasks[[#This Row],[Task Name]]="","",IF(Tasks[[#This Row],[_IsSummary]],SUM(INDEX(Tasks[_LeafTotalWork],Tasks[[#This Row],[_Row]]+1):INDEX(Tasks[_LeafTotalWork],Tasks[[#This Row],[_Row]]+Tasks[[#This Row],[_Descendants]])),Tasks[[#This Row],[_LeafTotalWork]]))</f>
        <v/>
      </c>
      <c r="AT11" s="97" t="str">
        <f aca="false">IF(Tasks[[#This Row],[Task Name]]="","",IF(Tasks[[#This Row],[_IsSummary]],SUM(INDEX(Tasks[_LeafTotalCost],Tasks[[#This Row],[_Row]]+1):INDEX(Tasks[_LeafTotalCost],Tasks[[#This Row],[_Row]]+Tasks[[#This Row],[_Descendants]])),Tasks[[#This Row],[_LeafTotalCost]]))</f>
        <v/>
      </c>
      <c r="AU11" s="98"/>
      <c r="AV11" s="29"/>
      <c r="AW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 s="83"/>
      <c r="AY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 s="30"/>
      <c r="BA11" s="25" t="str">
        <f aca="false">IF(Tasks[[#This Row],[Task Name]]="","",Tasks[[#This Row],[Forecast Start]])</f>
        <v/>
      </c>
      <c r="BB11" s="25" t="str">
        <f aca="false">IF(Tasks[[#This Row],[Task Name]]="","",Tasks[[#This Row],[Forecast Finish]])</f>
        <v/>
      </c>
      <c r="BC11" s="28" t="str">
        <f aca="false">IF(Tasks[[#This Row],[Task Name]]="","",IF(Tasks[[#This Row],[_IsSummary]],NETWORKDAYS.INTL(Tasks[[#This Row],[Forecast Start]],Tasks[[#This Row],[Forecast Finish]],WorkWeek,Holidays),N(Tasks[[#This Row],[Duration]])))</f>
        <v/>
      </c>
      <c r="BD11" s="96" t="str">
        <f aca="false">IF(Tasks[[#This Row],[Task Name]]="","",Tasks[[#This Row],[Work]])</f>
        <v/>
      </c>
      <c r="BE11" s="97" t="str">
        <f aca="false">IF(Tasks[[#This Row],[Task Name]]="","",Tasks[[#This Row],[Cost]])</f>
        <v/>
      </c>
      <c r="BF11" s="75"/>
      <c r="BG11" s="75"/>
      <c r="BH11" s="29"/>
      <c r="BI11" s="99"/>
      <c r="BJ11" s="98"/>
      <c r="BK11" s="28" t="str">
        <f aca="false">IF(OR(Tasks[[#This Row],[Task Name]]="",Tasks[[#This Row],[Baseline Duration]]=""),"",Tasks[[#This Row],[BL Source Duration]]-N(Tasks[[#This Row],[Baseline Duration]]))</f>
        <v/>
      </c>
      <c r="BL11" s="96" t="str">
        <f aca="false">IF(OR(Tasks[[#This Row],[Task Name]]="",Tasks[[#This Row],[Baseline Work]]=""),"",Tasks[[#This Row],[Work]]-N(Tasks[[#This Row],[Baseline Work]]))</f>
        <v/>
      </c>
      <c r="BM11" s="97" t="str">
        <f aca="false">IF(OR(Tasks[[#This Row],[Task Name]]="",Tasks[[#This Row],[Baseline Cost]]=""),"",Tasks[[#This Row],[Cost]]-N(Tasks[[#This Row],[Baseline Cost]]))</f>
        <v/>
      </c>
      <c r="BN11" s="97" t="str">
        <f aca="false">IF(Tasks[[#This Row],[Task Name]]="","",IF(Tasks[[#This Row],[_IsSummary]],SUM(INDEX(Tasks[_LeafBudget],Tasks[[#This Row],[_Row]]+1):INDEX(Tasks[_LeafBudget],Tasks[[#This Row],[_Row]]+Tasks[[#This Row],[_Descendants]])),Tasks[[#This Row],[_LeafBudget]]))</f>
        <v/>
      </c>
      <c r="BO11" s="97" t="str">
        <f aca="false">IF(Tasks[[#This Row],[Task Name]]="","",IF(Tasks[[#This Row],[_IsSummary]],SUM(INDEX(Tasks[_LeafPV],Tasks[[#This Row],[_Row]]+1):INDEX(Tasks[_LeafPV],Tasks[[#This Row],[_Row]]+Tasks[[#This Row],[_Descendants]])),Tasks[[#This Row],[_LeafPV]]))</f>
        <v/>
      </c>
      <c r="BP11" s="97" t="str">
        <f aca="false">IF(Tasks[[#This Row],[Task Name]]="","",IF(Tasks[[#This Row],[_IsSummary]],SUM(INDEX(Tasks[_LeafEV],Tasks[[#This Row],[_Row]]+1):INDEX(Tasks[_LeafEV],Tasks[[#This Row],[_Row]]+Tasks[[#This Row],[_Descendants]])),Tasks[[#This Row],[_LeafEV]]))</f>
        <v/>
      </c>
      <c r="BQ11" s="97" t="str">
        <f aca="false">IF(Tasks[[#This Row],[Task Name]]="","",IF(Tasks[[#This Row],[_IsSummary]],SUM(INDEX(Tasks[_LeafAC],Tasks[[#This Row],[_Row]]+1):INDEX(Tasks[_LeafAC],Tasks[[#This Row],[_Row]]+Tasks[[#This Row],[_Descendants]])),Tasks[[#This Row],[_LeafAC]]))</f>
        <v/>
      </c>
      <c r="BR11" s="41" t="str">
        <f aca="false">IF(Tasks[[#This Row],[Task Name]]="","",MAX(1,N(Tasks[[#This Row],[Level]])))</f>
        <v/>
      </c>
      <c r="BS11" s="41" t="n">
        <f aca="false">ROW()-ROW(Tasks[[#Headers],[ID]])</f>
        <v>6</v>
      </c>
      <c r="BT11" s="41" t="n">
        <f aca="false">IF(OR(Tasks[[#This Row],[Task Name]]="",Tasks[[#This Row],[_Level]]&lt;=1),0,IFERROR(LOOKUP(2,1/(Tasks[[#Headers],[_Level]]:Tasks[[#This Row],[_Level]]=Tasks[[#This Row],[_Level]]-1),ROW(Tasks[[#Headers],[_Level]]:Tasks[[#This Row],[_Level]])),0))</f>
        <v>0</v>
      </c>
      <c r="BU11" s="41" t="n">
        <f aca="false">IFERROR(N(INDEX(Tasks[_Level],Tasks[[#This Row],[_Row]]+1)),0)</f>
        <v>0</v>
      </c>
      <c r="BV11" s="100" t="b">
        <f aca="false">AND(Tasks[[#This Row],[Task Name]]&lt;&gt;"",Tasks[[#This Row],[_NextLevel]]&gt;Tasks[[#This Row],[_Level]])</f>
        <v>0</v>
      </c>
      <c r="BW11" s="41" t="n">
        <f aca="false">IF(Tasks[[#This Row],[_IsSummary]],COUNTIF(Tasks[WBS],Tasks[[#This Row],[WBS]]&amp;".*"),0)</f>
        <v>0</v>
      </c>
      <c r="BX11" s="41" t="n">
        <f aca="false">IF(AND(Tasks[[#This Row],[Task Name]]&lt;&gt;"",NOT(Tasks[[#This Row],[_IsSummary]])),1,0)</f>
        <v>0</v>
      </c>
      <c r="BY11" s="41" t="n">
        <f aca="false">IF(N(Tasks[[#This Row],[Pred1 UID]])=0,0,IFERROR(MATCH(Tasks[[#This Row],[Pred1 UID]],Tasks[UID],0),-1))</f>
        <v>0</v>
      </c>
      <c r="BZ11" s="41" t="n">
        <f aca="false">IF(N(Tasks[[#This Row],[Pred2 UID]])=0,0,IFERROR(MATCH(Tasks[[#This Row],[Pred2 UID]],Tasks[UID],0),-1))</f>
        <v>0</v>
      </c>
      <c r="CA11" s="41" t="n">
        <f aca="false">IF(N(Tasks[[#This Row],[Pred3 UID]])=0,0,IFERROR(MATCH(Tasks[[#This Row],[Pred3 UID]],Tasks[UID],0),-1))</f>
        <v>0</v>
      </c>
      <c r="CB11" s="41" t="n">
        <f aca="false">IF(N(Tasks[[#This Row],[Pred4 UID]])=0,0,IFERROR(MATCH(Tasks[[#This Row],[Pred4 UID]],Tasks[UID],0),-1))</f>
        <v>0</v>
      </c>
      <c r="CC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 s="101" t="n">
        <f aca="false">IF(OR(Tasks[[#This Row],[_ConstraintCode]]=2,Tasks[[#This Row],[_ConstraintCode]]=3,Tasks[[#This Row],[_ConstraintCode]]=4,Tasks[[#This Row],[_ConstraintCode]]=6),Tasks[[#This Row],[_ConstraintStart]],0)</f>
        <v>0</v>
      </c>
      <c r="CF11" s="101" t="n">
        <f aca="false">IF(OR(Tasks[[#This Row],[_ConstraintCode]]=2,Tasks[[#This Row],[_ConstraintCode]]=3,Tasks[[#This Row],[_ConstraintCode]]=5,Tasks[[#This Row],[_ConstraintCode]]=7),Tasks[[#This Row],[_ConstraintStart]],2958465)</f>
        <v>2958465</v>
      </c>
      <c r="CG1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 s="101" t="str">
        <f aca="false">IF(NOT(Tasks[[#This Row],[_IsLeaf]]=1),"",IF(N(Tasks[[#This Row],[Duration]])&lt;=0,Tasks[[#This Row],[_LeafCalcStart]],WORKDAY.INTL(Tasks[[#This Row],[_LeafCalcStart]],Tasks[[#This Row],[Duration]]-1,WorkWeek,Holidays)))</f>
        <v/>
      </c>
      <c r="CI1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 s="41" t="n">
        <f aca="false">IF(NOT(Tasks[[#This Row],[_IsLeaf]]=1),0,IF(N(Tasks[[#This Row],[Actual Finish]])&gt;0,1,MIN(1,N(Tasks[[#This Row],[% Complete]]))))</f>
        <v>0</v>
      </c>
      <c r="CL11" s="41" t="n">
        <f aca="false">IF(OR(NOT(Tasks[[#This Row],[_IsLeaf]]=1),Tasks[[#This Row],[Resource]]=""),0,N(Tasks[[#This Row],[Duration]])*HoursPerDay*IF(Tasks[[#This Row],[Units]]="",DefaultUnits,Tasks[[#This Row],[Units]]))</f>
        <v>0</v>
      </c>
      <c r="CM11" s="41" t="n">
        <f aca="false">IF(Tasks[[#This Row],[_LeafWork]]=0,0,Tasks[[#This Row],[_LeafWork]]*IFERROR(INDEX(res_Rate,MATCH(Tasks[[#This Row],[Resource]],res_Name,0)),0))</f>
        <v>0</v>
      </c>
      <c r="CN11" s="41" t="n">
        <f aca="false">Tasks[[#This Row],[_LeafWork]]+IF(Tasks[[#This Row],[_IsLeaf]]=1,SUMIFS(asg_Work,asg_TaskUID,Tasks[[#This Row],[UID]],asg_Valid,1),0)</f>
        <v>0</v>
      </c>
      <c r="CO11" s="41" t="n">
        <f aca="false">Tasks[[#This Row],[_LeafCost]]+IF(Tasks[[#This Row],[_IsLeaf]]=1,SUMIFS(asg_Cost,asg_TaskUID,Tasks[[#This Row],[UID]],asg_Valid,1),0)</f>
        <v>0</v>
      </c>
      <c r="CP11" s="41" t="n">
        <f aca="false">IF(Tasks[[#This Row],[_LeafTotalCost]]=0,Tasks[[#This Row],[_LeafAC]],Tasks[[#This Row],[_LeafAC]]*Tasks[[#This Row],[_LeafCost]]/Tasks[[#This Row],[_LeafTotalCost]])</f>
        <v>0</v>
      </c>
      <c r="CQ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 s="41" t="n">
        <f aca="false">IF(NOT(Tasks[[#This Row],[_IsLeaf]]=1),0,MAX(_xlfn.MAXIFS(Tasks[_Row],Tasks[Pred1 UID],Tasks[[#This Row],[UID]]),_xlfn.MAXIFS(Tasks[_Row],Tasks[Pred2 UID],Tasks[[#This Row],[UID]]),_xlfn.MAXIFS(Tasks[_Row],Tasks[Pred3 UID],Tasks[[#This Row],[UID]]),_xlfn.MAXIFS(Tasks[_Row],Tasks[Pred4 UID],Tasks[[#This Row],[UID]])))</f>
        <v>0</v>
      </c>
      <c r="CZ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 s="101" t="str">
        <f aca="false">IF(NOT(Tasks[[#This Row],[_IsLeaf]]=1),"",IF(N(Tasks[[#This Row],[Duration]])&lt;=0,Tasks[[#This Row],[_LeafLateFinish]],WORKDAY.INTL(Tasks[[#This Row],[_LeafLateFinish]],-(Tasks[[#This Row],[Duration]]-1),WorkWeek,Holidays)))</f>
        <v/>
      </c>
      <c r="DC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 s="100" t="b">
        <f aca="false">AND(Tasks[[#This Row],[_IsLeaf]]=1,Tasks[[#This Row],[_LeafProgress]]&lt;1,N(Tasks[[#This Row],[_LeafTotalSlack]])&lt;=CriticalSlackDays)</f>
        <v>0</v>
      </c>
      <c r="DE11" s="41" t="n">
        <f aca="false">IF(AND(Tasks[[#This Row],[_IsLeaf]]=1,Tasks[[#This Row],[_ConstraintCode]]=1,Tasks[[#This Row],[Mode]]&lt;&gt;"Manual",N(Tasks[[#This Row],[Actual Start]])=0),MAX(0,N(Tasks[[#This Row],[Free Slack]])),0)</f>
        <v>0</v>
      </c>
      <c r="DF11" s="101" t="str">
        <f aca="false">IF(NOT(Tasks[[#This Row],[_IsLeaf]]=1),"",IF(Tasks[[#This Row],[_AlapShift]]=0,Tasks[[#This Row],[_LeafCalcStart]],WORKDAY.INTL(Tasks[[#This Row],[_LeafCalcStart]],Tasks[[#This Row],[_AlapShift]],WorkWeek,Holidays)))</f>
        <v/>
      </c>
      <c r="DG11" s="101" t="str">
        <f aca="false">IF(NOT(Tasks[[#This Row],[_IsLeaf]]=1),"",IF(Tasks[[#This Row],[_AlapShift]]=0,Tasks[[#This Row],[_LeafCalcFinish]],WORKDAY.INTL(Tasks[[#This Row],[_LeafCalcFinish]],Tasks[[#This Row],[_AlapShift]],WorkWeek,Holidays)))</f>
        <v/>
      </c>
      <c r="DH11" s="101" t="str">
        <f aca="false">IF(NOT(Tasks[[#This Row],[_IsLeaf]]=1),"",IF(Tasks[[#This Row],[_AlapShift]]=0,Tasks[[#This Row],[_LeafFcstStart]],WORKDAY.INTL(Tasks[[#This Row],[_LeafFcstStart]],Tasks[[#This Row],[_AlapShift]],WorkWeek,Holidays)))</f>
        <v/>
      </c>
      <c r="DI11" s="101" t="str">
        <f aca="false">IF(NOT(Tasks[[#This Row],[_IsLeaf]]=1),"",IF(Tasks[[#This Row],[_AlapShift]]=0,Tasks[[#This Row],[_LeafFcstFinish]],WORKDAY.INTL(Tasks[[#This Row],[_LeafFcstFinish]],Tasks[[#This Row],[_AlapShift]],WorkWeek,Holidays)))</f>
        <v/>
      </c>
      <c r="DJ11" s="101" t="str">
        <f aca="false">IF(Tasks[[#This Row],[Task Name]]="","",IF(Tasks[[#This Row],[_IsSummary]],MIN(INDEX(Tasks[_ShownCalcStart],Tasks[[#This Row],[_Row]]+1):INDEX(Tasks[_ShownCalcStart],Tasks[[#This Row],[_Row]]+Tasks[[#This Row],[_Descendants]])),Tasks[[#This Row],[_ShownCalcStart]]))</f>
        <v/>
      </c>
      <c r="DK11" s="101" t="str">
        <f aca="false">IF(Tasks[[#This Row],[Task Name]]="","",IF(Tasks[[#This Row],[_IsSummary]],MAX(INDEX(Tasks[_ShownCalcFinish],Tasks[[#This Row],[_Row]]+1):INDEX(Tasks[_ShownCalcFinish],Tasks[[#This Row],[_Row]]+Tasks[[#This Row],[_Descendants]])),Tasks[[#This Row],[_ShownCalcFinish]]))</f>
        <v/>
      </c>
      <c r="D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 s="41" t="n">
        <f aca="false">IF(AND(Tasks[[#This Row],[_IsLeaf]]=1,Tasks[[#This Row],[_LeafTotalWork]]&gt;0),NETWORKDAYS.INTL(ProjectStart,Tasks[[#This Row],[_ShownFcstStart]],WorkWeek,Holidays),0)</f>
        <v>0</v>
      </c>
      <c r="DY11" s="41" t="n">
        <f aca="false">IF(AND(Tasks[[#This Row],[_IsLeaf]]=1,Tasks[[#This Row],[_LeafTotalWork]]&gt;0),MAX(Tasks[[#This Row],[_StartWorkday]],NETWORKDAYS.INTL(ProjectStart,Tasks[[#This Row],[_ShownFcstFinish]],WorkWeek,Holidays)),0)</f>
        <v>0</v>
      </c>
      <c r="DZ11" s="41" t="n">
        <f aca="false">IF(AND(Tasks[[#This Row],[_IsLeaf]]=1,Tasks[[#This Row],[_LeafTotalWork]]&gt;0),Tasks[[#This Row],[_LeafWork]]/(Tasks[[#This Row],[_FinishWorkday]]-Tasks[[#This Row],[_StartWorkday]]+1),0)</f>
        <v>0</v>
      </c>
      <c r="EA11" s="41" t="n">
        <f aca="false">Tasks[[#This Row],[_WorkPerWorkday]]*(Tasks[[#This Row],[_StartWorkday]]-1)</f>
        <v>-0</v>
      </c>
      <c r="EB11" s="41" t="n">
        <f aca="false">IF(Tasks[[#This Row],[_IsLeaf]]=1,MAX(N(Tasks[[#This Row],[Duration]]),0.1),0)</f>
        <v>0</v>
      </c>
      <c r="EC11" s="41" t="n">
        <f aca="false">Tasks[[#This Row],[_WeightDur]]*Tasks[[#This Row],[_LeafProgress]]</f>
        <v>0</v>
      </c>
      <c r="ED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 s="41" t="str">
        <f aca="false">IF(AND(Tasks[[#This Row],[_IsLeaf]]=1,N(Tasks[[#This Row],[Duration]])=0,Tasks[[#This Row],[_LeafProgress]]&lt;1),Tasks[[#This Row],[_ShownFcstFinish]]+Tasks[[#This Row],[_Row]]/100000,"")</f>
        <v/>
      </c>
      <c r="EF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 s="41" t="n">
        <f aca="false">IF(NOT(Tasks[[#This Row],[_IsLeaf]]=1),0,IF(Tasks[[#This Row],[Baseline Cost]]="",Tasks[[#This Row],[_LeafTotalCost]],N(Tasks[[#This Row],[Baseline Cost]])))</f>
        <v>0</v>
      </c>
      <c r="EH11" s="41" t="n">
        <f aca="false">Tasks[[#This Row],[_LeafBudget]]*Tasks[[#This Row],[_PlannedPct]]</f>
        <v>0</v>
      </c>
      <c r="EI11" s="41" t="n">
        <f aca="false">Tasks[[#This Row],[_LeafBudget]]*Tasks[[#This Row],[_LeafProgress]]</f>
        <v>0</v>
      </c>
      <c r="EJ11" s="41" t="n">
        <f aca="false">IF(NOT(Tasks[[#This Row],[_IsLeaf]]=1),0,IF(Tasks[[#This Row],[Actual Cost]]="",Tasks[[#This Row],[_LeafTotalCost]]*Tasks[[#This Row],[_LeafProgress]],N(Tasks[[#This Row],[Actual Cost]])))</f>
        <v>0</v>
      </c>
      <c r="EK11" s="41" t="str">
        <f aca="false">IF(Tasks[[#This Row],[Task Name]]="","",LEFT(Tasks[[#This Row],[WBS]],FIND(".",Tasks[[#This Row],[WBS]]&amp;".")-1))</f>
        <v/>
      </c>
      <c r="EL11" s="41" t="str">
        <f aca="false">IF(AND(Tasks[[#This Row],[Task Name]]&lt;&gt;"",Tasks[[#This Row],[_Level]]=1),Tasks[[#This Row],[_Row]],"")</f>
        <v/>
      </c>
      <c r="EM11" s="41" t="str">
        <f aca="false">IF(AND(Tasks[[#This Row],[_IsLeaf]]=1,N(Tasks[[#This Row],[Duration]])=0),Tasks[[#This Row],[Planned Finish]]+Tasks[[#This Row],[_Row]]/100000,"")</f>
        <v/>
      </c>
      <c r="EN11" s="41" t="str">
        <f aca="false">IF(AND(Tasks[[#This Row],[_IsLeaf]]=1,Tasks[[#This Row],[_LeafProgress]]&lt;1,OR(N(Tasks[[#This Row],[Finish Var]])&gt;0,Tasks[[#This Row],[Status]]="Late Start")),MAX(0,Tasks[[#This Row],[Finish Var]])+1-Tasks[[#This Row],[_Row]]/1000000,"")</f>
        <v/>
      </c>
      <c r="EO11" s="41" t="str">
        <f aca="false">IF(AND(Tasks[[#This Row],[_IsLeaf]]=1,N(Tasks[[#This Row],[Actual Start]])=0,Tasks[[#This Row],[_ShownFcstStart]]&gt;=StatusDate,Tasks[[#This Row],[_ShownFcstStart]]&lt;=LookaheadEnd),Tasks[[#This Row],[_ShownFcstStart]]+Tasks[[#This Row],[_Row]]/100000,"")</f>
        <v/>
      </c>
      <c r="EP11" s="41" t="str">
        <f aca="false">IF(AND(Tasks[[#This Row],[_IsLeaf]]=1,Tasks[[#This Row],[_LeafProgress]]&lt;1,Tasks[[#This Row],[_ShownFcstFinish]]&gt;=StatusDate,Tasks[[#This Row],[_ShownFcstFinish]]&lt;=LookaheadEnd),Tasks[[#This Row],[_ShownFcstFinish]]+Tasks[[#This Row],[_Row]]/100000,"")</f>
        <v/>
      </c>
      <c r="EQ11" s="41" t="str">
        <f aca="false">IF(Tasks[[#This Row],[_LeafCritical]],Tasks[[#This Row],[_ShownFcstStart]]+Tasks[[#This Row],[_Row]]/100000,"")</f>
        <v/>
      </c>
      <c r="ER11" s="41" t="n">
        <f aca="false">Tasks[[#This Row],[_LeafWork]]*Tasks[[#This Row],[_LeafProgress]]</f>
        <v>0</v>
      </c>
      <c r="ES11" s="101" t="str">
        <f aca="false">IF(AND(Tasks[[#This Row],[_IsLeaf]]=1,Tasks[[#This Row],[_LeafProgress]]&gt;=1),IF(N(Tasks[[#This Row],[Actual Finish]])&gt;0,Tasks[[#This Row],[Actual Finish]],Tasks[[#This Row],[_ShownFcstFinish]]),"")</f>
        <v/>
      </c>
      <c r="ET11" s="41" t="n">
        <f aca="false">IF(Tasks[[#This Row],[_IsLeaf]]=1,N(Tasks[[#This Row],[Story Points]]),0)</f>
        <v>0</v>
      </c>
      <c r="EU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29"/>
      <c r="O12" s="29"/>
      <c r="P12" s="29"/>
      <c r="Q12" s="29"/>
      <c r="R12" s="29"/>
      <c r="S12" s="29"/>
      <c r="T12" s="30"/>
      <c r="U12" s="75"/>
      <c r="V12" s="75"/>
      <c r="W12" s="25" t="str">
        <f aca="false">IF(Tasks[[#This Row],[Task Name]]="","",IF(N(Tasks[[#This Row],[Baseline Start]])&gt;0,Tasks[[#This Row],[Baseline Start]],Tasks[[#This Row],[_CalcStart]]))</f>
        <v/>
      </c>
      <c r="X12" s="25" t="str">
        <f aca="false">IF(Tasks[[#This Row],[Task Name]]="","",IF(N(Tasks[[#This Row],[Baseline Finish]])&gt;0,Tasks[[#This Row],[Baseline Finish]],Tasks[[#This Row],[_CalcFinish]]))</f>
        <v/>
      </c>
      <c r="Y12" s="75"/>
      <c r="Z12" s="75"/>
      <c r="AA12" s="25" t="str">
        <f aca="false">IF(Tasks[[#This Row],[Task Name]]="","",IF(Tasks[[#This Row],[_IsSummary]],MIN(INDEX(Tasks[_ShownFcstStart],Tasks[[#This Row],[_Row]]+1):INDEX(Tasks[_ShownFcstStart],Tasks[[#This Row],[_Row]]+Tasks[[#This Row],[_Descendants]])),Tasks[[#This Row],[_ShownFcstStart]]))</f>
        <v/>
      </c>
      <c r="AB12" s="25" t="str">
        <f aca="false">IF(Tasks[[#This Row],[Task Name]]="","",IF(Tasks[[#This Row],[_IsSummary]],MAX(INDEX(Tasks[_ShownFcstFinish],Tasks[[#This Row],[_Row]]+1):INDEX(Tasks[_ShownFcstFinish],Tasks[[#This Row],[_Row]]+Tasks[[#This Row],[_Descendants]])),Tasks[[#This Row],[_ShownFcstFinish]]))</f>
        <v/>
      </c>
      <c r="AC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 s="25" t="str">
        <f aca="false">IF(Tasks[[#This Row],[Task Name]]="","",IF(Tasks[[#This Row],[_IsSummary]],MIN(INDEX(Tasks[_LeafLateStart],Tasks[[#This Row],[_Row]]+1):INDEX(Tasks[_LeafLateStart],Tasks[[#This Row],[_Row]]+Tasks[[#This Row],[_Descendants]])),Tasks[[#This Row],[_LeafLateStart]]))</f>
        <v/>
      </c>
      <c r="AF12" s="25" t="str">
        <f aca="false">IF(Tasks[[#This Row],[Task Name]]="","",IF(Tasks[[#This Row],[_IsSummary]],MAX(INDEX(Tasks[_LeafLateFinish],Tasks[[#This Row],[_Row]]+1):INDEX(Tasks[_LeafLateFinish],Tasks[[#This Row],[_Row]]+Tasks[[#This Row],[_Descendants]])),Tasks[[#This Row],[_LeafLateFinish]]))</f>
        <v/>
      </c>
      <c r="AG12" s="28" t="str">
        <f aca="false">IF(Tasks[[#This Row],[Task Name]]="","",IF(Tasks[[#This Row],[_IsSummary]],MIN(INDEX(Tasks[_LeafTotalSlack],Tasks[[#This Row],[_Row]]+1):INDEX(Tasks[_LeafTotalSlack],Tasks[[#This Row],[_Row]]+Tasks[[#This Row],[_Descendants]])),Tasks[[#This Row],[_LeafTotalSlack]]))</f>
        <v/>
      </c>
      <c r="AH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 s="28" t="str">
        <f aca="false">IF(Tasks[[#This Row],[Task Name]]="","",IF(IF(Tasks[[#This Row],[_IsSummary]],COUNTIF(INDEX(Tasks[_LeafCritical],Tasks[[#This Row],[_Row]]+1):INDEX(Tasks[_LeafCritical],Tasks[[#This Row],[_Row]]+Tasks[[#This Row],[_Descendants]]),TRUE())&gt;0,Tasks[[#This Row],[_LeafCritical]]),"Yes",""))</f>
        <v/>
      </c>
      <c r="AJ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 s="89"/>
      <c r="AM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 s="28" t="str">
        <f aca="false">IF(Tasks[[#This Row],[Task Name]]="","",IF(Tasks[[#This Row],[Progress]]&gt;=1,"Complete",IF(OR(N(Tasks[[#This Row],[Actual Start]])&gt;0,Tasks[[#This Row],[Progress]]&gt;0),IF(Tasks[[#This Row],[Finish Var]]&gt;0,"Behind","In Progress"),IF(Tasks[[#This Row],[Planned Start]]&lt;StatusDate,"Late Start","Not Started"))))</f>
        <v/>
      </c>
      <c r="AO12" s="30"/>
      <c r="AP12" s="89"/>
      <c r="AQ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 s="96" t="str">
        <f aca="false">IF(Tasks[[#This Row],[Task Name]]="","",IF(Tasks[[#This Row],[_IsSummary]],SUM(INDEX(Tasks[_LeafTotalWork],Tasks[[#This Row],[_Row]]+1):INDEX(Tasks[_LeafTotalWork],Tasks[[#This Row],[_Row]]+Tasks[[#This Row],[_Descendants]])),Tasks[[#This Row],[_LeafTotalWork]]))</f>
        <v/>
      </c>
      <c r="AT12" s="97" t="str">
        <f aca="false">IF(Tasks[[#This Row],[Task Name]]="","",IF(Tasks[[#This Row],[_IsSummary]],SUM(INDEX(Tasks[_LeafTotalCost],Tasks[[#This Row],[_Row]]+1):INDEX(Tasks[_LeafTotalCost],Tasks[[#This Row],[_Row]]+Tasks[[#This Row],[_Descendants]])),Tasks[[#This Row],[_LeafTotalCost]]))</f>
        <v/>
      </c>
      <c r="AU12" s="98"/>
      <c r="AV12" s="29"/>
      <c r="AW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 s="83"/>
      <c r="AY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 s="30"/>
      <c r="BA12" s="25" t="str">
        <f aca="false">IF(Tasks[[#This Row],[Task Name]]="","",Tasks[[#This Row],[Forecast Start]])</f>
        <v/>
      </c>
      <c r="BB12" s="25" t="str">
        <f aca="false">IF(Tasks[[#This Row],[Task Name]]="","",Tasks[[#This Row],[Forecast Finish]])</f>
        <v/>
      </c>
      <c r="BC12" s="28" t="str">
        <f aca="false">IF(Tasks[[#This Row],[Task Name]]="","",IF(Tasks[[#This Row],[_IsSummary]],NETWORKDAYS.INTL(Tasks[[#This Row],[Forecast Start]],Tasks[[#This Row],[Forecast Finish]],WorkWeek,Holidays),N(Tasks[[#This Row],[Duration]])))</f>
        <v/>
      </c>
      <c r="BD12" s="96" t="str">
        <f aca="false">IF(Tasks[[#This Row],[Task Name]]="","",Tasks[[#This Row],[Work]])</f>
        <v/>
      </c>
      <c r="BE12" s="97" t="str">
        <f aca="false">IF(Tasks[[#This Row],[Task Name]]="","",Tasks[[#This Row],[Cost]])</f>
        <v/>
      </c>
      <c r="BF12" s="75"/>
      <c r="BG12" s="75"/>
      <c r="BH12" s="29"/>
      <c r="BI12" s="99"/>
      <c r="BJ12" s="98"/>
      <c r="BK12" s="28" t="str">
        <f aca="false">IF(OR(Tasks[[#This Row],[Task Name]]="",Tasks[[#This Row],[Baseline Duration]]=""),"",Tasks[[#This Row],[BL Source Duration]]-N(Tasks[[#This Row],[Baseline Duration]]))</f>
        <v/>
      </c>
      <c r="BL12" s="96" t="str">
        <f aca="false">IF(OR(Tasks[[#This Row],[Task Name]]="",Tasks[[#This Row],[Baseline Work]]=""),"",Tasks[[#This Row],[Work]]-N(Tasks[[#This Row],[Baseline Work]]))</f>
        <v/>
      </c>
      <c r="BM12" s="97" t="str">
        <f aca="false">IF(OR(Tasks[[#This Row],[Task Name]]="",Tasks[[#This Row],[Baseline Cost]]=""),"",Tasks[[#This Row],[Cost]]-N(Tasks[[#This Row],[Baseline Cost]]))</f>
        <v/>
      </c>
      <c r="BN12" s="97" t="str">
        <f aca="false">IF(Tasks[[#This Row],[Task Name]]="","",IF(Tasks[[#This Row],[_IsSummary]],SUM(INDEX(Tasks[_LeafBudget],Tasks[[#This Row],[_Row]]+1):INDEX(Tasks[_LeafBudget],Tasks[[#This Row],[_Row]]+Tasks[[#This Row],[_Descendants]])),Tasks[[#This Row],[_LeafBudget]]))</f>
        <v/>
      </c>
      <c r="BO12" s="97" t="str">
        <f aca="false">IF(Tasks[[#This Row],[Task Name]]="","",IF(Tasks[[#This Row],[_IsSummary]],SUM(INDEX(Tasks[_LeafPV],Tasks[[#This Row],[_Row]]+1):INDEX(Tasks[_LeafPV],Tasks[[#This Row],[_Row]]+Tasks[[#This Row],[_Descendants]])),Tasks[[#This Row],[_LeafPV]]))</f>
        <v/>
      </c>
      <c r="BP12" s="97" t="str">
        <f aca="false">IF(Tasks[[#This Row],[Task Name]]="","",IF(Tasks[[#This Row],[_IsSummary]],SUM(INDEX(Tasks[_LeafEV],Tasks[[#This Row],[_Row]]+1):INDEX(Tasks[_LeafEV],Tasks[[#This Row],[_Row]]+Tasks[[#This Row],[_Descendants]])),Tasks[[#This Row],[_LeafEV]]))</f>
        <v/>
      </c>
      <c r="BQ12" s="97" t="str">
        <f aca="false">IF(Tasks[[#This Row],[Task Name]]="","",IF(Tasks[[#This Row],[_IsSummary]],SUM(INDEX(Tasks[_LeafAC],Tasks[[#This Row],[_Row]]+1):INDEX(Tasks[_LeafAC],Tasks[[#This Row],[_Row]]+Tasks[[#This Row],[_Descendants]])),Tasks[[#This Row],[_LeafAC]]))</f>
        <v/>
      </c>
      <c r="BR12" s="41" t="str">
        <f aca="false">IF(Tasks[[#This Row],[Task Name]]="","",MAX(1,N(Tasks[[#This Row],[Level]])))</f>
        <v/>
      </c>
      <c r="BS12" s="41" t="n">
        <f aca="false">ROW()-ROW(Tasks[[#Headers],[ID]])</f>
        <v>7</v>
      </c>
      <c r="BT12" s="41" t="n">
        <f aca="false">IF(OR(Tasks[[#This Row],[Task Name]]="",Tasks[[#This Row],[_Level]]&lt;=1),0,IFERROR(LOOKUP(2,1/(Tasks[[#Headers],[_Level]]:Tasks[[#This Row],[_Level]]=Tasks[[#This Row],[_Level]]-1),ROW(Tasks[[#Headers],[_Level]]:Tasks[[#This Row],[_Level]])),0))</f>
        <v>0</v>
      </c>
      <c r="BU12" s="41" t="n">
        <f aca="false">IFERROR(N(INDEX(Tasks[_Level],Tasks[[#This Row],[_Row]]+1)),0)</f>
        <v>0</v>
      </c>
      <c r="BV12" s="100" t="b">
        <f aca="false">AND(Tasks[[#This Row],[Task Name]]&lt;&gt;"",Tasks[[#This Row],[_NextLevel]]&gt;Tasks[[#This Row],[_Level]])</f>
        <v>0</v>
      </c>
      <c r="BW12" s="41" t="n">
        <f aca="false">IF(Tasks[[#This Row],[_IsSummary]],COUNTIF(Tasks[WBS],Tasks[[#This Row],[WBS]]&amp;".*"),0)</f>
        <v>0</v>
      </c>
      <c r="BX12" s="41" t="n">
        <f aca="false">IF(AND(Tasks[[#This Row],[Task Name]]&lt;&gt;"",NOT(Tasks[[#This Row],[_IsSummary]])),1,0)</f>
        <v>0</v>
      </c>
      <c r="BY12" s="41" t="n">
        <f aca="false">IF(N(Tasks[[#This Row],[Pred1 UID]])=0,0,IFERROR(MATCH(Tasks[[#This Row],[Pred1 UID]],Tasks[UID],0),-1))</f>
        <v>0</v>
      </c>
      <c r="BZ12" s="41" t="n">
        <f aca="false">IF(N(Tasks[[#This Row],[Pred2 UID]])=0,0,IFERROR(MATCH(Tasks[[#This Row],[Pred2 UID]],Tasks[UID],0),-1))</f>
        <v>0</v>
      </c>
      <c r="CA12" s="41" t="n">
        <f aca="false">IF(N(Tasks[[#This Row],[Pred3 UID]])=0,0,IFERROR(MATCH(Tasks[[#This Row],[Pred3 UID]],Tasks[UID],0),-1))</f>
        <v>0</v>
      </c>
      <c r="CB12" s="41" t="n">
        <f aca="false">IF(N(Tasks[[#This Row],[Pred4 UID]])=0,0,IFERROR(MATCH(Tasks[[#This Row],[Pred4 UID]],Tasks[UID],0),-1))</f>
        <v>0</v>
      </c>
      <c r="CC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 s="101" t="n">
        <f aca="false">IF(OR(Tasks[[#This Row],[_ConstraintCode]]=2,Tasks[[#This Row],[_ConstraintCode]]=3,Tasks[[#This Row],[_ConstraintCode]]=4,Tasks[[#This Row],[_ConstraintCode]]=6),Tasks[[#This Row],[_ConstraintStart]],0)</f>
        <v>0</v>
      </c>
      <c r="CF12" s="101" t="n">
        <f aca="false">IF(OR(Tasks[[#This Row],[_ConstraintCode]]=2,Tasks[[#This Row],[_ConstraintCode]]=3,Tasks[[#This Row],[_ConstraintCode]]=5,Tasks[[#This Row],[_ConstraintCode]]=7),Tasks[[#This Row],[_ConstraintStart]],2958465)</f>
        <v>2958465</v>
      </c>
      <c r="CG1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 s="101" t="str">
        <f aca="false">IF(NOT(Tasks[[#This Row],[_IsLeaf]]=1),"",IF(N(Tasks[[#This Row],[Duration]])&lt;=0,Tasks[[#This Row],[_LeafCalcStart]],WORKDAY.INTL(Tasks[[#This Row],[_LeafCalcStart]],Tasks[[#This Row],[Duration]]-1,WorkWeek,Holidays)))</f>
        <v/>
      </c>
      <c r="CI1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 s="41" t="n">
        <f aca="false">IF(NOT(Tasks[[#This Row],[_IsLeaf]]=1),0,IF(N(Tasks[[#This Row],[Actual Finish]])&gt;0,1,MIN(1,N(Tasks[[#This Row],[% Complete]]))))</f>
        <v>0</v>
      </c>
      <c r="CL12" s="41" t="n">
        <f aca="false">IF(OR(NOT(Tasks[[#This Row],[_IsLeaf]]=1),Tasks[[#This Row],[Resource]]=""),0,N(Tasks[[#This Row],[Duration]])*HoursPerDay*IF(Tasks[[#This Row],[Units]]="",DefaultUnits,Tasks[[#This Row],[Units]]))</f>
        <v>0</v>
      </c>
      <c r="CM12" s="41" t="n">
        <f aca="false">IF(Tasks[[#This Row],[_LeafWork]]=0,0,Tasks[[#This Row],[_LeafWork]]*IFERROR(INDEX(res_Rate,MATCH(Tasks[[#This Row],[Resource]],res_Name,0)),0))</f>
        <v>0</v>
      </c>
      <c r="CN12" s="41" t="n">
        <f aca="false">Tasks[[#This Row],[_LeafWork]]+IF(Tasks[[#This Row],[_IsLeaf]]=1,SUMIFS(asg_Work,asg_TaskUID,Tasks[[#This Row],[UID]],asg_Valid,1),0)</f>
        <v>0</v>
      </c>
      <c r="CO12" s="41" t="n">
        <f aca="false">Tasks[[#This Row],[_LeafCost]]+IF(Tasks[[#This Row],[_IsLeaf]]=1,SUMIFS(asg_Cost,asg_TaskUID,Tasks[[#This Row],[UID]],asg_Valid,1),0)</f>
        <v>0</v>
      </c>
      <c r="CP12" s="41" t="n">
        <f aca="false">IF(Tasks[[#This Row],[_LeafTotalCost]]=0,Tasks[[#This Row],[_LeafAC]],Tasks[[#This Row],[_LeafAC]]*Tasks[[#This Row],[_LeafCost]]/Tasks[[#This Row],[_LeafTotalCost]])</f>
        <v>0</v>
      </c>
      <c r="CQ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 s="41" t="n">
        <f aca="false">IF(NOT(Tasks[[#This Row],[_IsLeaf]]=1),0,MAX(_xlfn.MAXIFS(Tasks[_Row],Tasks[Pred1 UID],Tasks[[#This Row],[UID]]),_xlfn.MAXIFS(Tasks[_Row],Tasks[Pred2 UID],Tasks[[#This Row],[UID]]),_xlfn.MAXIFS(Tasks[_Row],Tasks[Pred3 UID],Tasks[[#This Row],[UID]]),_xlfn.MAXIFS(Tasks[_Row],Tasks[Pred4 UID],Tasks[[#This Row],[UID]])))</f>
        <v>0</v>
      </c>
      <c r="CZ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 s="101" t="str">
        <f aca="false">IF(NOT(Tasks[[#This Row],[_IsLeaf]]=1),"",IF(N(Tasks[[#This Row],[Duration]])&lt;=0,Tasks[[#This Row],[_LeafLateFinish]],WORKDAY.INTL(Tasks[[#This Row],[_LeafLateFinish]],-(Tasks[[#This Row],[Duration]]-1),WorkWeek,Holidays)))</f>
        <v/>
      </c>
      <c r="DC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 s="100" t="b">
        <f aca="false">AND(Tasks[[#This Row],[_IsLeaf]]=1,Tasks[[#This Row],[_LeafProgress]]&lt;1,N(Tasks[[#This Row],[_LeafTotalSlack]])&lt;=CriticalSlackDays)</f>
        <v>0</v>
      </c>
      <c r="DE12" s="41" t="n">
        <f aca="false">IF(AND(Tasks[[#This Row],[_IsLeaf]]=1,Tasks[[#This Row],[_ConstraintCode]]=1,Tasks[[#This Row],[Mode]]&lt;&gt;"Manual",N(Tasks[[#This Row],[Actual Start]])=0),MAX(0,N(Tasks[[#This Row],[Free Slack]])),0)</f>
        <v>0</v>
      </c>
      <c r="DF12" s="101" t="str">
        <f aca="false">IF(NOT(Tasks[[#This Row],[_IsLeaf]]=1),"",IF(Tasks[[#This Row],[_AlapShift]]=0,Tasks[[#This Row],[_LeafCalcStart]],WORKDAY.INTL(Tasks[[#This Row],[_LeafCalcStart]],Tasks[[#This Row],[_AlapShift]],WorkWeek,Holidays)))</f>
        <v/>
      </c>
      <c r="DG12" s="101" t="str">
        <f aca="false">IF(NOT(Tasks[[#This Row],[_IsLeaf]]=1),"",IF(Tasks[[#This Row],[_AlapShift]]=0,Tasks[[#This Row],[_LeafCalcFinish]],WORKDAY.INTL(Tasks[[#This Row],[_LeafCalcFinish]],Tasks[[#This Row],[_AlapShift]],WorkWeek,Holidays)))</f>
        <v/>
      </c>
      <c r="DH12" s="101" t="str">
        <f aca="false">IF(NOT(Tasks[[#This Row],[_IsLeaf]]=1),"",IF(Tasks[[#This Row],[_AlapShift]]=0,Tasks[[#This Row],[_LeafFcstStart]],WORKDAY.INTL(Tasks[[#This Row],[_LeafFcstStart]],Tasks[[#This Row],[_AlapShift]],WorkWeek,Holidays)))</f>
        <v/>
      </c>
      <c r="DI12" s="101" t="str">
        <f aca="false">IF(NOT(Tasks[[#This Row],[_IsLeaf]]=1),"",IF(Tasks[[#This Row],[_AlapShift]]=0,Tasks[[#This Row],[_LeafFcstFinish]],WORKDAY.INTL(Tasks[[#This Row],[_LeafFcstFinish]],Tasks[[#This Row],[_AlapShift]],WorkWeek,Holidays)))</f>
        <v/>
      </c>
      <c r="DJ12" s="101" t="str">
        <f aca="false">IF(Tasks[[#This Row],[Task Name]]="","",IF(Tasks[[#This Row],[_IsSummary]],MIN(INDEX(Tasks[_ShownCalcStart],Tasks[[#This Row],[_Row]]+1):INDEX(Tasks[_ShownCalcStart],Tasks[[#This Row],[_Row]]+Tasks[[#This Row],[_Descendants]])),Tasks[[#This Row],[_ShownCalcStart]]))</f>
        <v/>
      </c>
      <c r="DK12" s="101" t="str">
        <f aca="false">IF(Tasks[[#This Row],[Task Name]]="","",IF(Tasks[[#This Row],[_IsSummary]],MAX(INDEX(Tasks[_ShownCalcFinish],Tasks[[#This Row],[_Row]]+1):INDEX(Tasks[_ShownCalcFinish],Tasks[[#This Row],[_Row]]+Tasks[[#This Row],[_Descendants]])),Tasks[[#This Row],[_ShownCalcFinish]]))</f>
        <v/>
      </c>
      <c r="D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 s="41" t="n">
        <f aca="false">IF(AND(Tasks[[#This Row],[_IsLeaf]]=1,Tasks[[#This Row],[_LeafTotalWork]]&gt;0),NETWORKDAYS.INTL(ProjectStart,Tasks[[#This Row],[_ShownFcstStart]],WorkWeek,Holidays),0)</f>
        <v>0</v>
      </c>
      <c r="DY12" s="41" t="n">
        <f aca="false">IF(AND(Tasks[[#This Row],[_IsLeaf]]=1,Tasks[[#This Row],[_LeafTotalWork]]&gt;0),MAX(Tasks[[#This Row],[_StartWorkday]],NETWORKDAYS.INTL(ProjectStart,Tasks[[#This Row],[_ShownFcstFinish]],WorkWeek,Holidays)),0)</f>
        <v>0</v>
      </c>
      <c r="DZ12" s="41" t="n">
        <f aca="false">IF(AND(Tasks[[#This Row],[_IsLeaf]]=1,Tasks[[#This Row],[_LeafTotalWork]]&gt;0),Tasks[[#This Row],[_LeafWork]]/(Tasks[[#This Row],[_FinishWorkday]]-Tasks[[#This Row],[_StartWorkday]]+1),0)</f>
        <v>0</v>
      </c>
      <c r="EA12" s="41" t="n">
        <f aca="false">Tasks[[#This Row],[_WorkPerWorkday]]*(Tasks[[#This Row],[_StartWorkday]]-1)</f>
        <v>-0</v>
      </c>
      <c r="EB12" s="41" t="n">
        <f aca="false">IF(Tasks[[#This Row],[_IsLeaf]]=1,MAX(N(Tasks[[#This Row],[Duration]]),0.1),0)</f>
        <v>0</v>
      </c>
      <c r="EC12" s="41" t="n">
        <f aca="false">Tasks[[#This Row],[_WeightDur]]*Tasks[[#This Row],[_LeafProgress]]</f>
        <v>0</v>
      </c>
      <c r="ED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 s="41" t="str">
        <f aca="false">IF(AND(Tasks[[#This Row],[_IsLeaf]]=1,N(Tasks[[#This Row],[Duration]])=0,Tasks[[#This Row],[_LeafProgress]]&lt;1),Tasks[[#This Row],[_ShownFcstFinish]]+Tasks[[#This Row],[_Row]]/100000,"")</f>
        <v/>
      </c>
      <c r="EF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 s="41" t="n">
        <f aca="false">IF(NOT(Tasks[[#This Row],[_IsLeaf]]=1),0,IF(Tasks[[#This Row],[Baseline Cost]]="",Tasks[[#This Row],[_LeafTotalCost]],N(Tasks[[#This Row],[Baseline Cost]])))</f>
        <v>0</v>
      </c>
      <c r="EH12" s="41" t="n">
        <f aca="false">Tasks[[#This Row],[_LeafBudget]]*Tasks[[#This Row],[_PlannedPct]]</f>
        <v>0</v>
      </c>
      <c r="EI12" s="41" t="n">
        <f aca="false">Tasks[[#This Row],[_LeafBudget]]*Tasks[[#This Row],[_LeafProgress]]</f>
        <v>0</v>
      </c>
      <c r="EJ12" s="41" t="n">
        <f aca="false">IF(NOT(Tasks[[#This Row],[_IsLeaf]]=1),0,IF(Tasks[[#This Row],[Actual Cost]]="",Tasks[[#This Row],[_LeafTotalCost]]*Tasks[[#This Row],[_LeafProgress]],N(Tasks[[#This Row],[Actual Cost]])))</f>
        <v>0</v>
      </c>
      <c r="EK12" s="41" t="str">
        <f aca="false">IF(Tasks[[#This Row],[Task Name]]="","",LEFT(Tasks[[#This Row],[WBS]],FIND(".",Tasks[[#This Row],[WBS]]&amp;".")-1))</f>
        <v/>
      </c>
      <c r="EL12" s="41" t="str">
        <f aca="false">IF(AND(Tasks[[#This Row],[Task Name]]&lt;&gt;"",Tasks[[#This Row],[_Level]]=1),Tasks[[#This Row],[_Row]],"")</f>
        <v/>
      </c>
      <c r="EM12" s="41" t="str">
        <f aca="false">IF(AND(Tasks[[#This Row],[_IsLeaf]]=1,N(Tasks[[#This Row],[Duration]])=0),Tasks[[#This Row],[Planned Finish]]+Tasks[[#This Row],[_Row]]/100000,"")</f>
        <v/>
      </c>
      <c r="EN12" s="41" t="str">
        <f aca="false">IF(AND(Tasks[[#This Row],[_IsLeaf]]=1,Tasks[[#This Row],[_LeafProgress]]&lt;1,OR(N(Tasks[[#This Row],[Finish Var]])&gt;0,Tasks[[#This Row],[Status]]="Late Start")),MAX(0,Tasks[[#This Row],[Finish Var]])+1-Tasks[[#This Row],[_Row]]/1000000,"")</f>
        <v/>
      </c>
      <c r="EO12" s="41" t="str">
        <f aca="false">IF(AND(Tasks[[#This Row],[_IsLeaf]]=1,N(Tasks[[#This Row],[Actual Start]])=0,Tasks[[#This Row],[_ShownFcstStart]]&gt;=StatusDate,Tasks[[#This Row],[_ShownFcstStart]]&lt;=LookaheadEnd),Tasks[[#This Row],[_ShownFcstStart]]+Tasks[[#This Row],[_Row]]/100000,"")</f>
        <v/>
      </c>
      <c r="EP12" s="41" t="str">
        <f aca="false">IF(AND(Tasks[[#This Row],[_IsLeaf]]=1,Tasks[[#This Row],[_LeafProgress]]&lt;1,Tasks[[#This Row],[_ShownFcstFinish]]&gt;=StatusDate,Tasks[[#This Row],[_ShownFcstFinish]]&lt;=LookaheadEnd),Tasks[[#This Row],[_ShownFcstFinish]]+Tasks[[#This Row],[_Row]]/100000,"")</f>
        <v/>
      </c>
      <c r="EQ12" s="41" t="str">
        <f aca="false">IF(Tasks[[#This Row],[_LeafCritical]],Tasks[[#This Row],[_ShownFcstStart]]+Tasks[[#This Row],[_Row]]/100000,"")</f>
        <v/>
      </c>
      <c r="ER12" s="41" t="n">
        <f aca="false">Tasks[[#This Row],[_LeafWork]]*Tasks[[#This Row],[_LeafProgress]]</f>
        <v>0</v>
      </c>
      <c r="ES12" s="101" t="str">
        <f aca="false">IF(AND(Tasks[[#This Row],[_IsLeaf]]=1,Tasks[[#This Row],[_LeafProgress]]&gt;=1),IF(N(Tasks[[#This Row],[Actual Finish]])&gt;0,Tasks[[#This Row],[Actual Finish]],Tasks[[#This Row],[_ShownFcstFinish]]),"")</f>
        <v/>
      </c>
      <c r="ET12" s="41" t="n">
        <f aca="false">IF(Tasks[[#This Row],[_IsLeaf]]=1,N(Tasks[[#This Row],[Story Points]]),0)</f>
        <v>0</v>
      </c>
      <c r="EU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29"/>
      <c r="O13" s="29"/>
      <c r="P13" s="29"/>
      <c r="Q13" s="29"/>
      <c r="R13" s="29"/>
      <c r="S13" s="29"/>
      <c r="T13" s="30"/>
      <c r="U13" s="75"/>
      <c r="V13" s="75"/>
      <c r="W13" s="25" t="str">
        <f aca="false">IF(Tasks[[#This Row],[Task Name]]="","",IF(N(Tasks[[#This Row],[Baseline Start]])&gt;0,Tasks[[#This Row],[Baseline Start]],Tasks[[#This Row],[_CalcStart]]))</f>
        <v/>
      </c>
      <c r="X13" s="25" t="str">
        <f aca="false">IF(Tasks[[#This Row],[Task Name]]="","",IF(N(Tasks[[#This Row],[Baseline Finish]])&gt;0,Tasks[[#This Row],[Baseline Finish]],Tasks[[#This Row],[_CalcFinish]]))</f>
        <v/>
      </c>
      <c r="Y13" s="75"/>
      <c r="Z13" s="75"/>
      <c r="AA13" s="25" t="str">
        <f aca="false">IF(Tasks[[#This Row],[Task Name]]="","",IF(Tasks[[#This Row],[_IsSummary]],MIN(INDEX(Tasks[_ShownFcstStart],Tasks[[#This Row],[_Row]]+1):INDEX(Tasks[_ShownFcstStart],Tasks[[#This Row],[_Row]]+Tasks[[#This Row],[_Descendants]])),Tasks[[#This Row],[_ShownFcstStart]]))</f>
        <v/>
      </c>
      <c r="AB13" s="25" t="str">
        <f aca="false">IF(Tasks[[#This Row],[Task Name]]="","",IF(Tasks[[#This Row],[_IsSummary]],MAX(INDEX(Tasks[_ShownFcstFinish],Tasks[[#This Row],[_Row]]+1):INDEX(Tasks[_ShownFcstFinish],Tasks[[#This Row],[_Row]]+Tasks[[#This Row],[_Descendants]])),Tasks[[#This Row],[_ShownFcstFinish]]))</f>
        <v/>
      </c>
      <c r="AC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 s="25" t="str">
        <f aca="false">IF(Tasks[[#This Row],[Task Name]]="","",IF(Tasks[[#This Row],[_IsSummary]],MIN(INDEX(Tasks[_LeafLateStart],Tasks[[#This Row],[_Row]]+1):INDEX(Tasks[_LeafLateStart],Tasks[[#This Row],[_Row]]+Tasks[[#This Row],[_Descendants]])),Tasks[[#This Row],[_LeafLateStart]]))</f>
        <v/>
      </c>
      <c r="AF13" s="25" t="str">
        <f aca="false">IF(Tasks[[#This Row],[Task Name]]="","",IF(Tasks[[#This Row],[_IsSummary]],MAX(INDEX(Tasks[_LeafLateFinish],Tasks[[#This Row],[_Row]]+1):INDEX(Tasks[_LeafLateFinish],Tasks[[#This Row],[_Row]]+Tasks[[#This Row],[_Descendants]])),Tasks[[#This Row],[_LeafLateFinish]]))</f>
        <v/>
      </c>
      <c r="AG13" s="28" t="str">
        <f aca="false">IF(Tasks[[#This Row],[Task Name]]="","",IF(Tasks[[#This Row],[_IsSummary]],MIN(INDEX(Tasks[_LeafTotalSlack],Tasks[[#This Row],[_Row]]+1):INDEX(Tasks[_LeafTotalSlack],Tasks[[#This Row],[_Row]]+Tasks[[#This Row],[_Descendants]])),Tasks[[#This Row],[_LeafTotalSlack]]))</f>
        <v/>
      </c>
      <c r="AH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 s="28" t="str">
        <f aca="false">IF(Tasks[[#This Row],[Task Name]]="","",IF(IF(Tasks[[#This Row],[_IsSummary]],COUNTIF(INDEX(Tasks[_LeafCritical],Tasks[[#This Row],[_Row]]+1):INDEX(Tasks[_LeafCritical],Tasks[[#This Row],[_Row]]+Tasks[[#This Row],[_Descendants]]),TRUE())&gt;0,Tasks[[#This Row],[_LeafCritical]]),"Yes",""))</f>
        <v/>
      </c>
      <c r="AJ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 s="89"/>
      <c r="AM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 s="28" t="str">
        <f aca="false">IF(Tasks[[#This Row],[Task Name]]="","",IF(Tasks[[#This Row],[Progress]]&gt;=1,"Complete",IF(OR(N(Tasks[[#This Row],[Actual Start]])&gt;0,Tasks[[#This Row],[Progress]]&gt;0),IF(Tasks[[#This Row],[Finish Var]]&gt;0,"Behind","In Progress"),IF(Tasks[[#This Row],[Planned Start]]&lt;StatusDate,"Late Start","Not Started"))))</f>
        <v/>
      </c>
      <c r="AO13" s="30"/>
      <c r="AP13" s="89"/>
      <c r="AQ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 s="96" t="str">
        <f aca="false">IF(Tasks[[#This Row],[Task Name]]="","",IF(Tasks[[#This Row],[_IsSummary]],SUM(INDEX(Tasks[_LeafTotalWork],Tasks[[#This Row],[_Row]]+1):INDEX(Tasks[_LeafTotalWork],Tasks[[#This Row],[_Row]]+Tasks[[#This Row],[_Descendants]])),Tasks[[#This Row],[_LeafTotalWork]]))</f>
        <v/>
      </c>
      <c r="AT13" s="97" t="str">
        <f aca="false">IF(Tasks[[#This Row],[Task Name]]="","",IF(Tasks[[#This Row],[_IsSummary]],SUM(INDEX(Tasks[_LeafTotalCost],Tasks[[#This Row],[_Row]]+1):INDEX(Tasks[_LeafTotalCost],Tasks[[#This Row],[_Row]]+Tasks[[#This Row],[_Descendants]])),Tasks[[#This Row],[_LeafTotalCost]]))</f>
        <v/>
      </c>
      <c r="AU13" s="98"/>
      <c r="AV13" s="29"/>
      <c r="AW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 s="83"/>
      <c r="AY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 s="30"/>
      <c r="BA13" s="25" t="str">
        <f aca="false">IF(Tasks[[#This Row],[Task Name]]="","",Tasks[[#This Row],[Forecast Start]])</f>
        <v/>
      </c>
      <c r="BB13" s="25" t="str">
        <f aca="false">IF(Tasks[[#This Row],[Task Name]]="","",Tasks[[#This Row],[Forecast Finish]])</f>
        <v/>
      </c>
      <c r="BC13" s="28" t="str">
        <f aca="false">IF(Tasks[[#This Row],[Task Name]]="","",IF(Tasks[[#This Row],[_IsSummary]],NETWORKDAYS.INTL(Tasks[[#This Row],[Forecast Start]],Tasks[[#This Row],[Forecast Finish]],WorkWeek,Holidays),N(Tasks[[#This Row],[Duration]])))</f>
        <v/>
      </c>
      <c r="BD13" s="96" t="str">
        <f aca="false">IF(Tasks[[#This Row],[Task Name]]="","",Tasks[[#This Row],[Work]])</f>
        <v/>
      </c>
      <c r="BE13" s="97" t="str">
        <f aca="false">IF(Tasks[[#This Row],[Task Name]]="","",Tasks[[#This Row],[Cost]])</f>
        <v/>
      </c>
      <c r="BF13" s="75"/>
      <c r="BG13" s="75"/>
      <c r="BH13" s="29"/>
      <c r="BI13" s="99"/>
      <c r="BJ13" s="98"/>
      <c r="BK13" s="28" t="str">
        <f aca="false">IF(OR(Tasks[[#This Row],[Task Name]]="",Tasks[[#This Row],[Baseline Duration]]=""),"",Tasks[[#This Row],[BL Source Duration]]-N(Tasks[[#This Row],[Baseline Duration]]))</f>
        <v/>
      </c>
      <c r="BL13" s="96" t="str">
        <f aca="false">IF(OR(Tasks[[#This Row],[Task Name]]="",Tasks[[#This Row],[Baseline Work]]=""),"",Tasks[[#This Row],[Work]]-N(Tasks[[#This Row],[Baseline Work]]))</f>
        <v/>
      </c>
      <c r="BM13" s="97" t="str">
        <f aca="false">IF(OR(Tasks[[#This Row],[Task Name]]="",Tasks[[#This Row],[Baseline Cost]]=""),"",Tasks[[#This Row],[Cost]]-N(Tasks[[#This Row],[Baseline Cost]]))</f>
        <v/>
      </c>
      <c r="BN13" s="97" t="str">
        <f aca="false">IF(Tasks[[#This Row],[Task Name]]="","",IF(Tasks[[#This Row],[_IsSummary]],SUM(INDEX(Tasks[_LeafBudget],Tasks[[#This Row],[_Row]]+1):INDEX(Tasks[_LeafBudget],Tasks[[#This Row],[_Row]]+Tasks[[#This Row],[_Descendants]])),Tasks[[#This Row],[_LeafBudget]]))</f>
        <v/>
      </c>
      <c r="BO13" s="97" t="str">
        <f aca="false">IF(Tasks[[#This Row],[Task Name]]="","",IF(Tasks[[#This Row],[_IsSummary]],SUM(INDEX(Tasks[_LeafPV],Tasks[[#This Row],[_Row]]+1):INDEX(Tasks[_LeafPV],Tasks[[#This Row],[_Row]]+Tasks[[#This Row],[_Descendants]])),Tasks[[#This Row],[_LeafPV]]))</f>
        <v/>
      </c>
      <c r="BP13" s="97" t="str">
        <f aca="false">IF(Tasks[[#This Row],[Task Name]]="","",IF(Tasks[[#This Row],[_IsSummary]],SUM(INDEX(Tasks[_LeafEV],Tasks[[#This Row],[_Row]]+1):INDEX(Tasks[_LeafEV],Tasks[[#This Row],[_Row]]+Tasks[[#This Row],[_Descendants]])),Tasks[[#This Row],[_LeafEV]]))</f>
        <v/>
      </c>
      <c r="BQ13" s="97" t="str">
        <f aca="false">IF(Tasks[[#This Row],[Task Name]]="","",IF(Tasks[[#This Row],[_IsSummary]],SUM(INDEX(Tasks[_LeafAC],Tasks[[#This Row],[_Row]]+1):INDEX(Tasks[_LeafAC],Tasks[[#This Row],[_Row]]+Tasks[[#This Row],[_Descendants]])),Tasks[[#This Row],[_LeafAC]]))</f>
        <v/>
      </c>
      <c r="BR13" s="41" t="str">
        <f aca="false">IF(Tasks[[#This Row],[Task Name]]="","",MAX(1,N(Tasks[[#This Row],[Level]])))</f>
        <v/>
      </c>
      <c r="BS13" s="41" t="n">
        <f aca="false">ROW()-ROW(Tasks[[#Headers],[ID]])</f>
        <v>8</v>
      </c>
      <c r="BT13" s="41" t="n">
        <f aca="false">IF(OR(Tasks[[#This Row],[Task Name]]="",Tasks[[#This Row],[_Level]]&lt;=1),0,IFERROR(LOOKUP(2,1/(Tasks[[#Headers],[_Level]]:Tasks[[#This Row],[_Level]]=Tasks[[#This Row],[_Level]]-1),ROW(Tasks[[#Headers],[_Level]]:Tasks[[#This Row],[_Level]])),0))</f>
        <v>0</v>
      </c>
      <c r="BU13" s="41" t="n">
        <f aca="false">IFERROR(N(INDEX(Tasks[_Level],Tasks[[#This Row],[_Row]]+1)),0)</f>
        <v>0</v>
      </c>
      <c r="BV13" s="100" t="b">
        <f aca="false">AND(Tasks[[#This Row],[Task Name]]&lt;&gt;"",Tasks[[#This Row],[_NextLevel]]&gt;Tasks[[#This Row],[_Level]])</f>
        <v>0</v>
      </c>
      <c r="BW13" s="41" t="n">
        <f aca="false">IF(Tasks[[#This Row],[_IsSummary]],COUNTIF(Tasks[WBS],Tasks[[#This Row],[WBS]]&amp;".*"),0)</f>
        <v>0</v>
      </c>
      <c r="BX13" s="41" t="n">
        <f aca="false">IF(AND(Tasks[[#This Row],[Task Name]]&lt;&gt;"",NOT(Tasks[[#This Row],[_IsSummary]])),1,0)</f>
        <v>0</v>
      </c>
      <c r="BY13" s="41" t="n">
        <f aca="false">IF(N(Tasks[[#This Row],[Pred1 UID]])=0,0,IFERROR(MATCH(Tasks[[#This Row],[Pred1 UID]],Tasks[UID],0),-1))</f>
        <v>0</v>
      </c>
      <c r="BZ13" s="41" t="n">
        <f aca="false">IF(N(Tasks[[#This Row],[Pred2 UID]])=0,0,IFERROR(MATCH(Tasks[[#This Row],[Pred2 UID]],Tasks[UID],0),-1))</f>
        <v>0</v>
      </c>
      <c r="CA13" s="41" t="n">
        <f aca="false">IF(N(Tasks[[#This Row],[Pred3 UID]])=0,0,IFERROR(MATCH(Tasks[[#This Row],[Pred3 UID]],Tasks[UID],0),-1))</f>
        <v>0</v>
      </c>
      <c r="CB13" s="41" t="n">
        <f aca="false">IF(N(Tasks[[#This Row],[Pred4 UID]])=0,0,IFERROR(MATCH(Tasks[[#This Row],[Pred4 UID]],Tasks[UID],0),-1))</f>
        <v>0</v>
      </c>
      <c r="CC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 s="101" t="n">
        <f aca="false">IF(OR(Tasks[[#This Row],[_ConstraintCode]]=2,Tasks[[#This Row],[_ConstraintCode]]=3,Tasks[[#This Row],[_ConstraintCode]]=4,Tasks[[#This Row],[_ConstraintCode]]=6),Tasks[[#This Row],[_ConstraintStart]],0)</f>
        <v>0</v>
      </c>
      <c r="CF13" s="101" t="n">
        <f aca="false">IF(OR(Tasks[[#This Row],[_ConstraintCode]]=2,Tasks[[#This Row],[_ConstraintCode]]=3,Tasks[[#This Row],[_ConstraintCode]]=5,Tasks[[#This Row],[_ConstraintCode]]=7),Tasks[[#This Row],[_ConstraintStart]],2958465)</f>
        <v>2958465</v>
      </c>
      <c r="CG1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 s="101" t="str">
        <f aca="false">IF(NOT(Tasks[[#This Row],[_IsLeaf]]=1),"",IF(N(Tasks[[#This Row],[Duration]])&lt;=0,Tasks[[#This Row],[_LeafCalcStart]],WORKDAY.INTL(Tasks[[#This Row],[_LeafCalcStart]],Tasks[[#This Row],[Duration]]-1,WorkWeek,Holidays)))</f>
        <v/>
      </c>
      <c r="CI1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 s="41" t="n">
        <f aca="false">IF(NOT(Tasks[[#This Row],[_IsLeaf]]=1),0,IF(N(Tasks[[#This Row],[Actual Finish]])&gt;0,1,MIN(1,N(Tasks[[#This Row],[% Complete]]))))</f>
        <v>0</v>
      </c>
      <c r="CL13" s="41" t="n">
        <f aca="false">IF(OR(NOT(Tasks[[#This Row],[_IsLeaf]]=1),Tasks[[#This Row],[Resource]]=""),0,N(Tasks[[#This Row],[Duration]])*HoursPerDay*IF(Tasks[[#This Row],[Units]]="",DefaultUnits,Tasks[[#This Row],[Units]]))</f>
        <v>0</v>
      </c>
      <c r="CM13" s="41" t="n">
        <f aca="false">IF(Tasks[[#This Row],[_LeafWork]]=0,0,Tasks[[#This Row],[_LeafWork]]*IFERROR(INDEX(res_Rate,MATCH(Tasks[[#This Row],[Resource]],res_Name,0)),0))</f>
        <v>0</v>
      </c>
      <c r="CN13" s="41" t="n">
        <f aca="false">Tasks[[#This Row],[_LeafWork]]+IF(Tasks[[#This Row],[_IsLeaf]]=1,SUMIFS(asg_Work,asg_TaskUID,Tasks[[#This Row],[UID]],asg_Valid,1),0)</f>
        <v>0</v>
      </c>
      <c r="CO13" s="41" t="n">
        <f aca="false">Tasks[[#This Row],[_LeafCost]]+IF(Tasks[[#This Row],[_IsLeaf]]=1,SUMIFS(asg_Cost,asg_TaskUID,Tasks[[#This Row],[UID]],asg_Valid,1),0)</f>
        <v>0</v>
      </c>
      <c r="CP13" s="41" t="n">
        <f aca="false">IF(Tasks[[#This Row],[_LeafTotalCost]]=0,Tasks[[#This Row],[_LeafAC]],Tasks[[#This Row],[_LeafAC]]*Tasks[[#This Row],[_LeafCost]]/Tasks[[#This Row],[_LeafTotalCost]])</f>
        <v>0</v>
      </c>
      <c r="CQ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 s="41" t="n">
        <f aca="false">IF(NOT(Tasks[[#This Row],[_IsLeaf]]=1),0,MAX(_xlfn.MAXIFS(Tasks[_Row],Tasks[Pred1 UID],Tasks[[#This Row],[UID]]),_xlfn.MAXIFS(Tasks[_Row],Tasks[Pred2 UID],Tasks[[#This Row],[UID]]),_xlfn.MAXIFS(Tasks[_Row],Tasks[Pred3 UID],Tasks[[#This Row],[UID]]),_xlfn.MAXIFS(Tasks[_Row],Tasks[Pred4 UID],Tasks[[#This Row],[UID]])))</f>
        <v>0</v>
      </c>
      <c r="CZ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 s="101" t="str">
        <f aca="false">IF(NOT(Tasks[[#This Row],[_IsLeaf]]=1),"",IF(N(Tasks[[#This Row],[Duration]])&lt;=0,Tasks[[#This Row],[_LeafLateFinish]],WORKDAY.INTL(Tasks[[#This Row],[_LeafLateFinish]],-(Tasks[[#This Row],[Duration]]-1),WorkWeek,Holidays)))</f>
        <v/>
      </c>
      <c r="DC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 s="100" t="b">
        <f aca="false">AND(Tasks[[#This Row],[_IsLeaf]]=1,Tasks[[#This Row],[_LeafProgress]]&lt;1,N(Tasks[[#This Row],[_LeafTotalSlack]])&lt;=CriticalSlackDays)</f>
        <v>0</v>
      </c>
      <c r="DE13" s="41" t="n">
        <f aca="false">IF(AND(Tasks[[#This Row],[_IsLeaf]]=1,Tasks[[#This Row],[_ConstraintCode]]=1,Tasks[[#This Row],[Mode]]&lt;&gt;"Manual",N(Tasks[[#This Row],[Actual Start]])=0),MAX(0,N(Tasks[[#This Row],[Free Slack]])),0)</f>
        <v>0</v>
      </c>
      <c r="DF13" s="101" t="str">
        <f aca="false">IF(NOT(Tasks[[#This Row],[_IsLeaf]]=1),"",IF(Tasks[[#This Row],[_AlapShift]]=0,Tasks[[#This Row],[_LeafCalcStart]],WORKDAY.INTL(Tasks[[#This Row],[_LeafCalcStart]],Tasks[[#This Row],[_AlapShift]],WorkWeek,Holidays)))</f>
        <v/>
      </c>
      <c r="DG13" s="101" t="str">
        <f aca="false">IF(NOT(Tasks[[#This Row],[_IsLeaf]]=1),"",IF(Tasks[[#This Row],[_AlapShift]]=0,Tasks[[#This Row],[_LeafCalcFinish]],WORKDAY.INTL(Tasks[[#This Row],[_LeafCalcFinish]],Tasks[[#This Row],[_AlapShift]],WorkWeek,Holidays)))</f>
        <v/>
      </c>
      <c r="DH13" s="101" t="str">
        <f aca="false">IF(NOT(Tasks[[#This Row],[_IsLeaf]]=1),"",IF(Tasks[[#This Row],[_AlapShift]]=0,Tasks[[#This Row],[_LeafFcstStart]],WORKDAY.INTL(Tasks[[#This Row],[_LeafFcstStart]],Tasks[[#This Row],[_AlapShift]],WorkWeek,Holidays)))</f>
        <v/>
      </c>
      <c r="DI13" s="101" t="str">
        <f aca="false">IF(NOT(Tasks[[#This Row],[_IsLeaf]]=1),"",IF(Tasks[[#This Row],[_AlapShift]]=0,Tasks[[#This Row],[_LeafFcstFinish]],WORKDAY.INTL(Tasks[[#This Row],[_LeafFcstFinish]],Tasks[[#This Row],[_AlapShift]],WorkWeek,Holidays)))</f>
        <v/>
      </c>
      <c r="DJ13" s="101" t="str">
        <f aca="false">IF(Tasks[[#This Row],[Task Name]]="","",IF(Tasks[[#This Row],[_IsSummary]],MIN(INDEX(Tasks[_ShownCalcStart],Tasks[[#This Row],[_Row]]+1):INDEX(Tasks[_ShownCalcStart],Tasks[[#This Row],[_Row]]+Tasks[[#This Row],[_Descendants]])),Tasks[[#This Row],[_ShownCalcStart]]))</f>
        <v/>
      </c>
      <c r="DK13" s="101" t="str">
        <f aca="false">IF(Tasks[[#This Row],[Task Name]]="","",IF(Tasks[[#This Row],[_IsSummary]],MAX(INDEX(Tasks[_ShownCalcFinish],Tasks[[#This Row],[_Row]]+1):INDEX(Tasks[_ShownCalcFinish],Tasks[[#This Row],[_Row]]+Tasks[[#This Row],[_Descendants]])),Tasks[[#This Row],[_ShownCalcFinish]]))</f>
        <v/>
      </c>
      <c r="D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 s="41" t="n">
        <f aca="false">IF(AND(Tasks[[#This Row],[_IsLeaf]]=1,Tasks[[#This Row],[_LeafTotalWork]]&gt;0),NETWORKDAYS.INTL(ProjectStart,Tasks[[#This Row],[_ShownFcstStart]],WorkWeek,Holidays),0)</f>
        <v>0</v>
      </c>
      <c r="DY13" s="41" t="n">
        <f aca="false">IF(AND(Tasks[[#This Row],[_IsLeaf]]=1,Tasks[[#This Row],[_LeafTotalWork]]&gt;0),MAX(Tasks[[#This Row],[_StartWorkday]],NETWORKDAYS.INTL(ProjectStart,Tasks[[#This Row],[_ShownFcstFinish]],WorkWeek,Holidays)),0)</f>
        <v>0</v>
      </c>
      <c r="DZ13" s="41" t="n">
        <f aca="false">IF(AND(Tasks[[#This Row],[_IsLeaf]]=1,Tasks[[#This Row],[_LeafTotalWork]]&gt;0),Tasks[[#This Row],[_LeafWork]]/(Tasks[[#This Row],[_FinishWorkday]]-Tasks[[#This Row],[_StartWorkday]]+1),0)</f>
        <v>0</v>
      </c>
      <c r="EA13" s="41" t="n">
        <f aca="false">Tasks[[#This Row],[_WorkPerWorkday]]*(Tasks[[#This Row],[_StartWorkday]]-1)</f>
        <v>-0</v>
      </c>
      <c r="EB13" s="41" t="n">
        <f aca="false">IF(Tasks[[#This Row],[_IsLeaf]]=1,MAX(N(Tasks[[#This Row],[Duration]]),0.1),0)</f>
        <v>0</v>
      </c>
      <c r="EC13" s="41" t="n">
        <f aca="false">Tasks[[#This Row],[_WeightDur]]*Tasks[[#This Row],[_LeafProgress]]</f>
        <v>0</v>
      </c>
      <c r="ED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 s="41" t="str">
        <f aca="false">IF(AND(Tasks[[#This Row],[_IsLeaf]]=1,N(Tasks[[#This Row],[Duration]])=0,Tasks[[#This Row],[_LeafProgress]]&lt;1),Tasks[[#This Row],[_ShownFcstFinish]]+Tasks[[#This Row],[_Row]]/100000,"")</f>
        <v/>
      </c>
      <c r="EF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 s="41" t="n">
        <f aca="false">IF(NOT(Tasks[[#This Row],[_IsLeaf]]=1),0,IF(Tasks[[#This Row],[Baseline Cost]]="",Tasks[[#This Row],[_LeafTotalCost]],N(Tasks[[#This Row],[Baseline Cost]])))</f>
        <v>0</v>
      </c>
      <c r="EH13" s="41" t="n">
        <f aca="false">Tasks[[#This Row],[_LeafBudget]]*Tasks[[#This Row],[_PlannedPct]]</f>
        <v>0</v>
      </c>
      <c r="EI13" s="41" t="n">
        <f aca="false">Tasks[[#This Row],[_LeafBudget]]*Tasks[[#This Row],[_LeafProgress]]</f>
        <v>0</v>
      </c>
      <c r="EJ13" s="41" t="n">
        <f aca="false">IF(NOT(Tasks[[#This Row],[_IsLeaf]]=1),0,IF(Tasks[[#This Row],[Actual Cost]]="",Tasks[[#This Row],[_LeafTotalCost]]*Tasks[[#This Row],[_LeafProgress]],N(Tasks[[#This Row],[Actual Cost]])))</f>
        <v>0</v>
      </c>
      <c r="EK13" s="41" t="str">
        <f aca="false">IF(Tasks[[#This Row],[Task Name]]="","",LEFT(Tasks[[#This Row],[WBS]],FIND(".",Tasks[[#This Row],[WBS]]&amp;".")-1))</f>
        <v/>
      </c>
      <c r="EL13" s="41" t="str">
        <f aca="false">IF(AND(Tasks[[#This Row],[Task Name]]&lt;&gt;"",Tasks[[#This Row],[_Level]]=1),Tasks[[#This Row],[_Row]],"")</f>
        <v/>
      </c>
      <c r="EM13" s="41" t="str">
        <f aca="false">IF(AND(Tasks[[#This Row],[_IsLeaf]]=1,N(Tasks[[#This Row],[Duration]])=0),Tasks[[#This Row],[Planned Finish]]+Tasks[[#This Row],[_Row]]/100000,"")</f>
        <v/>
      </c>
      <c r="EN13" s="41" t="str">
        <f aca="false">IF(AND(Tasks[[#This Row],[_IsLeaf]]=1,Tasks[[#This Row],[_LeafProgress]]&lt;1,OR(N(Tasks[[#This Row],[Finish Var]])&gt;0,Tasks[[#This Row],[Status]]="Late Start")),MAX(0,Tasks[[#This Row],[Finish Var]])+1-Tasks[[#This Row],[_Row]]/1000000,"")</f>
        <v/>
      </c>
      <c r="EO13" s="41" t="str">
        <f aca="false">IF(AND(Tasks[[#This Row],[_IsLeaf]]=1,N(Tasks[[#This Row],[Actual Start]])=0,Tasks[[#This Row],[_ShownFcstStart]]&gt;=StatusDate,Tasks[[#This Row],[_ShownFcstStart]]&lt;=LookaheadEnd),Tasks[[#This Row],[_ShownFcstStart]]+Tasks[[#This Row],[_Row]]/100000,"")</f>
        <v/>
      </c>
      <c r="EP13" s="41" t="str">
        <f aca="false">IF(AND(Tasks[[#This Row],[_IsLeaf]]=1,Tasks[[#This Row],[_LeafProgress]]&lt;1,Tasks[[#This Row],[_ShownFcstFinish]]&gt;=StatusDate,Tasks[[#This Row],[_ShownFcstFinish]]&lt;=LookaheadEnd),Tasks[[#This Row],[_ShownFcstFinish]]+Tasks[[#This Row],[_Row]]/100000,"")</f>
        <v/>
      </c>
      <c r="EQ13" s="41" t="str">
        <f aca="false">IF(Tasks[[#This Row],[_LeafCritical]],Tasks[[#This Row],[_ShownFcstStart]]+Tasks[[#This Row],[_Row]]/100000,"")</f>
        <v/>
      </c>
      <c r="ER13" s="41" t="n">
        <f aca="false">Tasks[[#This Row],[_LeafWork]]*Tasks[[#This Row],[_LeafProgress]]</f>
        <v>0</v>
      </c>
      <c r="ES13" s="101" t="str">
        <f aca="false">IF(AND(Tasks[[#This Row],[_IsLeaf]]=1,Tasks[[#This Row],[_LeafProgress]]&gt;=1),IF(N(Tasks[[#This Row],[Actual Finish]])&gt;0,Tasks[[#This Row],[Actual Finish]],Tasks[[#This Row],[_ShownFcstFinish]]),"")</f>
        <v/>
      </c>
      <c r="ET13" s="41" t="n">
        <f aca="false">IF(Tasks[[#This Row],[_IsLeaf]]=1,N(Tasks[[#This Row],[Story Points]]),0)</f>
        <v>0</v>
      </c>
      <c r="EU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29"/>
      <c r="O14" s="29"/>
      <c r="P14" s="29"/>
      <c r="Q14" s="29"/>
      <c r="R14" s="29"/>
      <c r="S14" s="29"/>
      <c r="T14" s="30"/>
      <c r="U14" s="75"/>
      <c r="V14" s="75"/>
      <c r="W14" s="25" t="str">
        <f aca="false">IF(Tasks[[#This Row],[Task Name]]="","",IF(N(Tasks[[#This Row],[Baseline Start]])&gt;0,Tasks[[#This Row],[Baseline Start]],Tasks[[#This Row],[_CalcStart]]))</f>
        <v/>
      </c>
      <c r="X14" s="25" t="str">
        <f aca="false">IF(Tasks[[#This Row],[Task Name]]="","",IF(N(Tasks[[#This Row],[Baseline Finish]])&gt;0,Tasks[[#This Row],[Baseline Finish]],Tasks[[#This Row],[_CalcFinish]]))</f>
        <v/>
      </c>
      <c r="Y14" s="75"/>
      <c r="Z14" s="75"/>
      <c r="AA14" s="25" t="str">
        <f aca="false">IF(Tasks[[#This Row],[Task Name]]="","",IF(Tasks[[#This Row],[_IsSummary]],MIN(INDEX(Tasks[_ShownFcstStart],Tasks[[#This Row],[_Row]]+1):INDEX(Tasks[_ShownFcstStart],Tasks[[#This Row],[_Row]]+Tasks[[#This Row],[_Descendants]])),Tasks[[#This Row],[_ShownFcstStart]]))</f>
        <v/>
      </c>
      <c r="AB14" s="25" t="str">
        <f aca="false">IF(Tasks[[#This Row],[Task Name]]="","",IF(Tasks[[#This Row],[_IsSummary]],MAX(INDEX(Tasks[_ShownFcstFinish],Tasks[[#This Row],[_Row]]+1):INDEX(Tasks[_ShownFcstFinish],Tasks[[#This Row],[_Row]]+Tasks[[#This Row],[_Descendants]])),Tasks[[#This Row],[_ShownFcstFinish]]))</f>
        <v/>
      </c>
      <c r="AC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 s="25" t="str">
        <f aca="false">IF(Tasks[[#This Row],[Task Name]]="","",IF(Tasks[[#This Row],[_IsSummary]],MIN(INDEX(Tasks[_LeafLateStart],Tasks[[#This Row],[_Row]]+1):INDEX(Tasks[_LeafLateStart],Tasks[[#This Row],[_Row]]+Tasks[[#This Row],[_Descendants]])),Tasks[[#This Row],[_LeafLateStart]]))</f>
        <v/>
      </c>
      <c r="AF14" s="25" t="str">
        <f aca="false">IF(Tasks[[#This Row],[Task Name]]="","",IF(Tasks[[#This Row],[_IsSummary]],MAX(INDEX(Tasks[_LeafLateFinish],Tasks[[#This Row],[_Row]]+1):INDEX(Tasks[_LeafLateFinish],Tasks[[#This Row],[_Row]]+Tasks[[#This Row],[_Descendants]])),Tasks[[#This Row],[_LeafLateFinish]]))</f>
        <v/>
      </c>
      <c r="AG14" s="28" t="str">
        <f aca="false">IF(Tasks[[#This Row],[Task Name]]="","",IF(Tasks[[#This Row],[_IsSummary]],MIN(INDEX(Tasks[_LeafTotalSlack],Tasks[[#This Row],[_Row]]+1):INDEX(Tasks[_LeafTotalSlack],Tasks[[#This Row],[_Row]]+Tasks[[#This Row],[_Descendants]])),Tasks[[#This Row],[_LeafTotalSlack]]))</f>
        <v/>
      </c>
      <c r="AH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 s="28" t="str">
        <f aca="false">IF(Tasks[[#This Row],[Task Name]]="","",IF(IF(Tasks[[#This Row],[_IsSummary]],COUNTIF(INDEX(Tasks[_LeafCritical],Tasks[[#This Row],[_Row]]+1):INDEX(Tasks[_LeafCritical],Tasks[[#This Row],[_Row]]+Tasks[[#This Row],[_Descendants]]),TRUE())&gt;0,Tasks[[#This Row],[_LeafCritical]]),"Yes",""))</f>
        <v/>
      </c>
      <c r="AJ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 s="89"/>
      <c r="AM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 s="28" t="str">
        <f aca="false">IF(Tasks[[#This Row],[Task Name]]="","",IF(Tasks[[#This Row],[Progress]]&gt;=1,"Complete",IF(OR(N(Tasks[[#This Row],[Actual Start]])&gt;0,Tasks[[#This Row],[Progress]]&gt;0),IF(Tasks[[#This Row],[Finish Var]]&gt;0,"Behind","In Progress"),IF(Tasks[[#This Row],[Planned Start]]&lt;StatusDate,"Late Start","Not Started"))))</f>
        <v/>
      </c>
      <c r="AO14" s="30"/>
      <c r="AP14" s="89"/>
      <c r="AQ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 s="96" t="str">
        <f aca="false">IF(Tasks[[#This Row],[Task Name]]="","",IF(Tasks[[#This Row],[_IsSummary]],SUM(INDEX(Tasks[_LeafTotalWork],Tasks[[#This Row],[_Row]]+1):INDEX(Tasks[_LeafTotalWork],Tasks[[#This Row],[_Row]]+Tasks[[#This Row],[_Descendants]])),Tasks[[#This Row],[_LeafTotalWork]]))</f>
        <v/>
      </c>
      <c r="AT14" s="97" t="str">
        <f aca="false">IF(Tasks[[#This Row],[Task Name]]="","",IF(Tasks[[#This Row],[_IsSummary]],SUM(INDEX(Tasks[_LeafTotalCost],Tasks[[#This Row],[_Row]]+1):INDEX(Tasks[_LeafTotalCost],Tasks[[#This Row],[_Row]]+Tasks[[#This Row],[_Descendants]])),Tasks[[#This Row],[_LeafTotalCost]]))</f>
        <v/>
      </c>
      <c r="AU14" s="98"/>
      <c r="AV14" s="29"/>
      <c r="AW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 s="83"/>
      <c r="AY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 s="30"/>
      <c r="BA14" s="25" t="str">
        <f aca="false">IF(Tasks[[#This Row],[Task Name]]="","",Tasks[[#This Row],[Forecast Start]])</f>
        <v/>
      </c>
      <c r="BB14" s="25" t="str">
        <f aca="false">IF(Tasks[[#This Row],[Task Name]]="","",Tasks[[#This Row],[Forecast Finish]])</f>
        <v/>
      </c>
      <c r="BC14" s="28" t="str">
        <f aca="false">IF(Tasks[[#This Row],[Task Name]]="","",IF(Tasks[[#This Row],[_IsSummary]],NETWORKDAYS.INTL(Tasks[[#This Row],[Forecast Start]],Tasks[[#This Row],[Forecast Finish]],WorkWeek,Holidays),N(Tasks[[#This Row],[Duration]])))</f>
        <v/>
      </c>
      <c r="BD14" s="96" t="str">
        <f aca="false">IF(Tasks[[#This Row],[Task Name]]="","",Tasks[[#This Row],[Work]])</f>
        <v/>
      </c>
      <c r="BE14" s="97" t="str">
        <f aca="false">IF(Tasks[[#This Row],[Task Name]]="","",Tasks[[#This Row],[Cost]])</f>
        <v/>
      </c>
      <c r="BF14" s="75"/>
      <c r="BG14" s="75"/>
      <c r="BH14" s="29"/>
      <c r="BI14" s="99"/>
      <c r="BJ14" s="98"/>
      <c r="BK14" s="28" t="str">
        <f aca="false">IF(OR(Tasks[[#This Row],[Task Name]]="",Tasks[[#This Row],[Baseline Duration]]=""),"",Tasks[[#This Row],[BL Source Duration]]-N(Tasks[[#This Row],[Baseline Duration]]))</f>
        <v/>
      </c>
      <c r="BL14" s="96" t="str">
        <f aca="false">IF(OR(Tasks[[#This Row],[Task Name]]="",Tasks[[#This Row],[Baseline Work]]=""),"",Tasks[[#This Row],[Work]]-N(Tasks[[#This Row],[Baseline Work]]))</f>
        <v/>
      </c>
      <c r="BM14" s="97" t="str">
        <f aca="false">IF(OR(Tasks[[#This Row],[Task Name]]="",Tasks[[#This Row],[Baseline Cost]]=""),"",Tasks[[#This Row],[Cost]]-N(Tasks[[#This Row],[Baseline Cost]]))</f>
        <v/>
      </c>
      <c r="BN14" s="97" t="str">
        <f aca="false">IF(Tasks[[#This Row],[Task Name]]="","",IF(Tasks[[#This Row],[_IsSummary]],SUM(INDEX(Tasks[_LeafBudget],Tasks[[#This Row],[_Row]]+1):INDEX(Tasks[_LeafBudget],Tasks[[#This Row],[_Row]]+Tasks[[#This Row],[_Descendants]])),Tasks[[#This Row],[_LeafBudget]]))</f>
        <v/>
      </c>
      <c r="BO14" s="97" t="str">
        <f aca="false">IF(Tasks[[#This Row],[Task Name]]="","",IF(Tasks[[#This Row],[_IsSummary]],SUM(INDEX(Tasks[_LeafPV],Tasks[[#This Row],[_Row]]+1):INDEX(Tasks[_LeafPV],Tasks[[#This Row],[_Row]]+Tasks[[#This Row],[_Descendants]])),Tasks[[#This Row],[_LeafPV]]))</f>
        <v/>
      </c>
      <c r="BP14" s="97" t="str">
        <f aca="false">IF(Tasks[[#This Row],[Task Name]]="","",IF(Tasks[[#This Row],[_IsSummary]],SUM(INDEX(Tasks[_LeafEV],Tasks[[#This Row],[_Row]]+1):INDEX(Tasks[_LeafEV],Tasks[[#This Row],[_Row]]+Tasks[[#This Row],[_Descendants]])),Tasks[[#This Row],[_LeafEV]]))</f>
        <v/>
      </c>
      <c r="BQ14" s="97" t="str">
        <f aca="false">IF(Tasks[[#This Row],[Task Name]]="","",IF(Tasks[[#This Row],[_IsSummary]],SUM(INDEX(Tasks[_LeafAC],Tasks[[#This Row],[_Row]]+1):INDEX(Tasks[_LeafAC],Tasks[[#This Row],[_Row]]+Tasks[[#This Row],[_Descendants]])),Tasks[[#This Row],[_LeafAC]]))</f>
        <v/>
      </c>
      <c r="BR14" s="41" t="str">
        <f aca="false">IF(Tasks[[#This Row],[Task Name]]="","",MAX(1,N(Tasks[[#This Row],[Level]])))</f>
        <v/>
      </c>
      <c r="BS14" s="41" t="n">
        <f aca="false">ROW()-ROW(Tasks[[#Headers],[ID]])</f>
        <v>9</v>
      </c>
      <c r="BT14" s="41" t="n">
        <f aca="false">IF(OR(Tasks[[#This Row],[Task Name]]="",Tasks[[#This Row],[_Level]]&lt;=1),0,IFERROR(LOOKUP(2,1/(Tasks[[#Headers],[_Level]]:Tasks[[#This Row],[_Level]]=Tasks[[#This Row],[_Level]]-1),ROW(Tasks[[#Headers],[_Level]]:Tasks[[#This Row],[_Level]])),0))</f>
        <v>0</v>
      </c>
      <c r="BU14" s="41" t="n">
        <f aca="false">IFERROR(N(INDEX(Tasks[_Level],Tasks[[#This Row],[_Row]]+1)),0)</f>
        <v>0</v>
      </c>
      <c r="BV14" s="100" t="b">
        <f aca="false">AND(Tasks[[#This Row],[Task Name]]&lt;&gt;"",Tasks[[#This Row],[_NextLevel]]&gt;Tasks[[#This Row],[_Level]])</f>
        <v>0</v>
      </c>
      <c r="BW14" s="41" t="n">
        <f aca="false">IF(Tasks[[#This Row],[_IsSummary]],COUNTIF(Tasks[WBS],Tasks[[#This Row],[WBS]]&amp;".*"),0)</f>
        <v>0</v>
      </c>
      <c r="BX14" s="41" t="n">
        <f aca="false">IF(AND(Tasks[[#This Row],[Task Name]]&lt;&gt;"",NOT(Tasks[[#This Row],[_IsSummary]])),1,0)</f>
        <v>0</v>
      </c>
      <c r="BY14" s="41" t="n">
        <f aca="false">IF(N(Tasks[[#This Row],[Pred1 UID]])=0,0,IFERROR(MATCH(Tasks[[#This Row],[Pred1 UID]],Tasks[UID],0),-1))</f>
        <v>0</v>
      </c>
      <c r="BZ14" s="41" t="n">
        <f aca="false">IF(N(Tasks[[#This Row],[Pred2 UID]])=0,0,IFERROR(MATCH(Tasks[[#This Row],[Pred2 UID]],Tasks[UID],0),-1))</f>
        <v>0</v>
      </c>
      <c r="CA14" s="41" t="n">
        <f aca="false">IF(N(Tasks[[#This Row],[Pred3 UID]])=0,0,IFERROR(MATCH(Tasks[[#This Row],[Pred3 UID]],Tasks[UID],0),-1))</f>
        <v>0</v>
      </c>
      <c r="CB14" s="41" t="n">
        <f aca="false">IF(N(Tasks[[#This Row],[Pred4 UID]])=0,0,IFERROR(MATCH(Tasks[[#This Row],[Pred4 UID]],Tasks[UID],0),-1))</f>
        <v>0</v>
      </c>
      <c r="CC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 s="101" t="n">
        <f aca="false">IF(OR(Tasks[[#This Row],[_ConstraintCode]]=2,Tasks[[#This Row],[_ConstraintCode]]=3,Tasks[[#This Row],[_ConstraintCode]]=4,Tasks[[#This Row],[_ConstraintCode]]=6),Tasks[[#This Row],[_ConstraintStart]],0)</f>
        <v>0</v>
      </c>
      <c r="CF14" s="101" t="n">
        <f aca="false">IF(OR(Tasks[[#This Row],[_ConstraintCode]]=2,Tasks[[#This Row],[_ConstraintCode]]=3,Tasks[[#This Row],[_ConstraintCode]]=5,Tasks[[#This Row],[_ConstraintCode]]=7),Tasks[[#This Row],[_ConstraintStart]],2958465)</f>
        <v>2958465</v>
      </c>
      <c r="CG1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 s="101" t="str">
        <f aca="false">IF(NOT(Tasks[[#This Row],[_IsLeaf]]=1),"",IF(N(Tasks[[#This Row],[Duration]])&lt;=0,Tasks[[#This Row],[_LeafCalcStart]],WORKDAY.INTL(Tasks[[#This Row],[_LeafCalcStart]],Tasks[[#This Row],[Duration]]-1,WorkWeek,Holidays)))</f>
        <v/>
      </c>
      <c r="CI1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 s="41" t="n">
        <f aca="false">IF(NOT(Tasks[[#This Row],[_IsLeaf]]=1),0,IF(N(Tasks[[#This Row],[Actual Finish]])&gt;0,1,MIN(1,N(Tasks[[#This Row],[% Complete]]))))</f>
        <v>0</v>
      </c>
      <c r="CL14" s="41" t="n">
        <f aca="false">IF(OR(NOT(Tasks[[#This Row],[_IsLeaf]]=1),Tasks[[#This Row],[Resource]]=""),0,N(Tasks[[#This Row],[Duration]])*HoursPerDay*IF(Tasks[[#This Row],[Units]]="",DefaultUnits,Tasks[[#This Row],[Units]]))</f>
        <v>0</v>
      </c>
      <c r="CM14" s="41" t="n">
        <f aca="false">IF(Tasks[[#This Row],[_LeafWork]]=0,0,Tasks[[#This Row],[_LeafWork]]*IFERROR(INDEX(res_Rate,MATCH(Tasks[[#This Row],[Resource]],res_Name,0)),0))</f>
        <v>0</v>
      </c>
      <c r="CN14" s="41" t="n">
        <f aca="false">Tasks[[#This Row],[_LeafWork]]+IF(Tasks[[#This Row],[_IsLeaf]]=1,SUMIFS(asg_Work,asg_TaskUID,Tasks[[#This Row],[UID]],asg_Valid,1),0)</f>
        <v>0</v>
      </c>
      <c r="CO14" s="41" t="n">
        <f aca="false">Tasks[[#This Row],[_LeafCost]]+IF(Tasks[[#This Row],[_IsLeaf]]=1,SUMIFS(asg_Cost,asg_TaskUID,Tasks[[#This Row],[UID]],asg_Valid,1),0)</f>
        <v>0</v>
      </c>
      <c r="CP14" s="41" t="n">
        <f aca="false">IF(Tasks[[#This Row],[_LeafTotalCost]]=0,Tasks[[#This Row],[_LeafAC]],Tasks[[#This Row],[_LeafAC]]*Tasks[[#This Row],[_LeafCost]]/Tasks[[#This Row],[_LeafTotalCost]])</f>
        <v>0</v>
      </c>
      <c r="CQ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 s="41" t="n">
        <f aca="false">IF(NOT(Tasks[[#This Row],[_IsLeaf]]=1),0,MAX(_xlfn.MAXIFS(Tasks[_Row],Tasks[Pred1 UID],Tasks[[#This Row],[UID]]),_xlfn.MAXIFS(Tasks[_Row],Tasks[Pred2 UID],Tasks[[#This Row],[UID]]),_xlfn.MAXIFS(Tasks[_Row],Tasks[Pred3 UID],Tasks[[#This Row],[UID]]),_xlfn.MAXIFS(Tasks[_Row],Tasks[Pred4 UID],Tasks[[#This Row],[UID]])))</f>
        <v>0</v>
      </c>
      <c r="CZ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 s="101" t="str">
        <f aca="false">IF(NOT(Tasks[[#This Row],[_IsLeaf]]=1),"",IF(N(Tasks[[#This Row],[Duration]])&lt;=0,Tasks[[#This Row],[_LeafLateFinish]],WORKDAY.INTL(Tasks[[#This Row],[_LeafLateFinish]],-(Tasks[[#This Row],[Duration]]-1),WorkWeek,Holidays)))</f>
        <v/>
      </c>
      <c r="DC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 s="100" t="b">
        <f aca="false">AND(Tasks[[#This Row],[_IsLeaf]]=1,Tasks[[#This Row],[_LeafProgress]]&lt;1,N(Tasks[[#This Row],[_LeafTotalSlack]])&lt;=CriticalSlackDays)</f>
        <v>0</v>
      </c>
      <c r="DE14" s="41" t="n">
        <f aca="false">IF(AND(Tasks[[#This Row],[_IsLeaf]]=1,Tasks[[#This Row],[_ConstraintCode]]=1,Tasks[[#This Row],[Mode]]&lt;&gt;"Manual",N(Tasks[[#This Row],[Actual Start]])=0),MAX(0,N(Tasks[[#This Row],[Free Slack]])),0)</f>
        <v>0</v>
      </c>
      <c r="DF14" s="101" t="str">
        <f aca="false">IF(NOT(Tasks[[#This Row],[_IsLeaf]]=1),"",IF(Tasks[[#This Row],[_AlapShift]]=0,Tasks[[#This Row],[_LeafCalcStart]],WORKDAY.INTL(Tasks[[#This Row],[_LeafCalcStart]],Tasks[[#This Row],[_AlapShift]],WorkWeek,Holidays)))</f>
        <v/>
      </c>
      <c r="DG14" s="101" t="str">
        <f aca="false">IF(NOT(Tasks[[#This Row],[_IsLeaf]]=1),"",IF(Tasks[[#This Row],[_AlapShift]]=0,Tasks[[#This Row],[_LeafCalcFinish]],WORKDAY.INTL(Tasks[[#This Row],[_LeafCalcFinish]],Tasks[[#This Row],[_AlapShift]],WorkWeek,Holidays)))</f>
        <v/>
      </c>
      <c r="DH14" s="101" t="str">
        <f aca="false">IF(NOT(Tasks[[#This Row],[_IsLeaf]]=1),"",IF(Tasks[[#This Row],[_AlapShift]]=0,Tasks[[#This Row],[_LeafFcstStart]],WORKDAY.INTL(Tasks[[#This Row],[_LeafFcstStart]],Tasks[[#This Row],[_AlapShift]],WorkWeek,Holidays)))</f>
        <v/>
      </c>
      <c r="DI14" s="101" t="str">
        <f aca="false">IF(NOT(Tasks[[#This Row],[_IsLeaf]]=1),"",IF(Tasks[[#This Row],[_AlapShift]]=0,Tasks[[#This Row],[_LeafFcstFinish]],WORKDAY.INTL(Tasks[[#This Row],[_LeafFcstFinish]],Tasks[[#This Row],[_AlapShift]],WorkWeek,Holidays)))</f>
        <v/>
      </c>
      <c r="DJ14" s="101" t="str">
        <f aca="false">IF(Tasks[[#This Row],[Task Name]]="","",IF(Tasks[[#This Row],[_IsSummary]],MIN(INDEX(Tasks[_ShownCalcStart],Tasks[[#This Row],[_Row]]+1):INDEX(Tasks[_ShownCalcStart],Tasks[[#This Row],[_Row]]+Tasks[[#This Row],[_Descendants]])),Tasks[[#This Row],[_ShownCalcStart]]))</f>
        <v/>
      </c>
      <c r="DK14" s="101" t="str">
        <f aca="false">IF(Tasks[[#This Row],[Task Name]]="","",IF(Tasks[[#This Row],[_IsSummary]],MAX(INDEX(Tasks[_ShownCalcFinish],Tasks[[#This Row],[_Row]]+1):INDEX(Tasks[_ShownCalcFinish],Tasks[[#This Row],[_Row]]+Tasks[[#This Row],[_Descendants]])),Tasks[[#This Row],[_ShownCalcFinish]]))</f>
        <v/>
      </c>
      <c r="D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 s="41" t="n">
        <f aca="false">IF(AND(Tasks[[#This Row],[_IsLeaf]]=1,Tasks[[#This Row],[_LeafTotalWork]]&gt;0),NETWORKDAYS.INTL(ProjectStart,Tasks[[#This Row],[_ShownFcstStart]],WorkWeek,Holidays),0)</f>
        <v>0</v>
      </c>
      <c r="DY14" s="41" t="n">
        <f aca="false">IF(AND(Tasks[[#This Row],[_IsLeaf]]=1,Tasks[[#This Row],[_LeafTotalWork]]&gt;0),MAX(Tasks[[#This Row],[_StartWorkday]],NETWORKDAYS.INTL(ProjectStart,Tasks[[#This Row],[_ShownFcstFinish]],WorkWeek,Holidays)),0)</f>
        <v>0</v>
      </c>
      <c r="DZ14" s="41" t="n">
        <f aca="false">IF(AND(Tasks[[#This Row],[_IsLeaf]]=1,Tasks[[#This Row],[_LeafTotalWork]]&gt;0),Tasks[[#This Row],[_LeafWork]]/(Tasks[[#This Row],[_FinishWorkday]]-Tasks[[#This Row],[_StartWorkday]]+1),0)</f>
        <v>0</v>
      </c>
      <c r="EA14" s="41" t="n">
        <f aca="false">Tasks[[#This Row],[_WorkPerWorkday]]*(Tasks[[#This Row],[_StartWorkday]]-1)</f>
        <v>-0</v>
      </c>
      <c r="EB14" s="41" t="n">
        <f aca="false">IF(Tasks[[#This Row],[_IsLeaf]]=1,MAX(N(Tasks[[#This Row],[Duration]]),0.1),0)</f>
        <v>0</v>
      </c>
      <c r="EC14" s="41" t="n">
        <f aca="false">Tasks[[#This Row],[_WeightDur]]*Tasks[[#This Row],[_LeafProgress]]</f>
        <v>0</v>
      </c>
      <c r="ED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 s="41" t="str">
        <f aca="false">IF(AND(Tasks[[#This Row],[_IsLeaf]]=1,N(Tasks[[#This Row],[Duration]])=0,Tasks[[#This Row],[_LeafProgress]]&lt;1),Tasks[[#This Row],[_ShownFcstFinish]]+Tasks[[#This Row],[_Row]]/100000,"")</f>
        <v/>
      </c>
      <c r="EF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 s="41" t="n">
        <f aca="false">IF(NOT(Tasks[[#This Row],[_IsLeaf]]=1),0,IF(Tasks[[#This Row],[Baseline Cost]]="",Tasks[[#This Row],[_LeafTotalCost]],N(Tasks[[#This Row],[Baseline Cost]])))</f>
        <v>0</v>
      </c>
      <c r="EH14" s="41" t="n">
        <f aca="false">Tasks[[#This Row],[_LeafBudget]]*Tasks[[#This Row],[_PlannedPct]]</f>
        <v>0</v>
      </c>
      <c r="EI14" s="41" t="n">
        <f aca="false">Tasks[[#This Row],[_LeafBudget]]*Tasks[[#This Row],[_LeafProgress]]</f>
        <v>0</v>
      </c>
      <c r="EJ14" s="41" t="n">
        <f aca="false">IF(NOT(Tasks[[#This Row],[_IsLeaf]]=1),0,IF(Tasks[[#This Row],[Actual Cost]]="",Tasks[[#This Row],[_LeafTotalCost]]*Tasks[[#This Row],[_LeafProgress]],N(Tasks[[#This Row],[Actual Cost]])))</f>
        <v>0</v>
      </c>
      <c r="EK14" s="41" t="str">
        <f aca="false">IF(Tasks[[#This Row],[Task Name]]="","",LEFT(Tasks[[#This Row],[WBS]],FIND(".",Tasks[[#This Row],[WBS]]&amp;".")-1))</f>
        <v/>
      </c>
      <c r="EL14" s="41" t="str">
        <f aca="false">IF(AND(Tasks[[#This Row],[Task Name]]&lt;&gt;"",Tasks[[#This Row],[_Level]]=1),Tasks[[#This Row],[_Row]],"")</f>
        <v/>
      </c>
      <c r="EM14" s="41" t="str">
        <f aca="false">IF(AND(Tasks[[#This Row],[_IsLeaf]]=1,N(Tasks[[#This Row],[Duration]])=0),Tasks[[#This Row],[Planned Finish]]+Tasks[[#This Row],[_Row]]/100000,"")</f>
        <v/>
      </c>
      <c r="EN14" s="41" t="str">
        <f aca="false">IF(AND(Tasks[[#This Row],[_IsLeaf]]=1,Tasks[[#This Row],[_LeafProgress]]&lt;1,OR(N(Tasks[[#This Row],[Finish Var]])&gt;0,Tasks[[#This Row],[Status]]="Late Start")),MAX(0,Tasks[[#This Row],[Finish Var]])+1-Tasks[[#This Row],[_Row]]/1000000,"")</f>
        <v/>
      </c>
      <c r="EO14" s="41" t="str">
        <f aca="false">IF(AND(Tasks[[#This Row],[_IsLeaf]]=1,N(Tasks[[#This Row],[Actual Start]])=0,Tasks[[#This Row],[_ShownFcstStart]]&gt;=StatusDate,Tasks[[#This Row],[_ShownFcstStart]]&lt;=LookaheadEnd),Tasks[[#This Row],[_ShownFcstStart]]+Tasks[[#This Row],[_Row]]/100000,"")</f>
        <v/>
      </c>
      <c r="EP14" s="41" t="str">
        <f aca="false">IF(AND(Tasks[[#This Row],[_IsLeaf]]=1,Tasks[[#This Row],[_LeafProgress]]&lt;1,Tasks[[#This Row],[_ShownFcstFinish]]&gt;=StatusDate,Tasks[[#This Row],[_ShownFcstFinish]]&lt;=LookaheadEnd),Tasks[[#This Row],[_ShownFcstFinish]]+Tasks[[#This Row],[_Row]]/100000,"")</f>
        <v/>
      </c>
      <c r="EQ14" s="41" t="str">
        <f aca="false">IF(Tasks[[#This Row],[_LeafCritical]],Tasks[[#This Row],[_ShownFcstStart]]+Tasks[[#This Row],[_Row]]/100000,"")</f>
        <v/>
      </c>
      <c r="ER14" s="41" t="n">
        <f aca="false">Tasks[[#This Row],[_LeafWork]]*Tasks[[#This Row],[_LeafProgress]]</f>
        <v>0</v>
      </c>
      <c r="ES14" s="101" t="str">
        <f aca="false">IF(AND(Tasks[[#This Row],[_IsLeaf]]=1,Tasks[[#This Row],[_LeafProgress]]&gt;=1),IF(N(Tasks[[#This Row],[Actual Finish]])&gt;0,Tasks[[#This Row],[Actual Finish]],Tasks[[#This Row],[_ShownFcstFinish]]),"")</f>
        <v/>
      </c>
      <c r="ET14" s="41" t="n">
        <f aca="false">IF(Tasks[[#This Row],[_IsLeaf]]=1,N(Tasks[[#This Row],[Story Points]]),0)</f>
        <v>0</v>
      </c>
      <c r="EU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29"/>
      <c r="O15" s="29"/>
      <c r="P15" s="29"/>
      <c r="Q15" s="29"/>
      <c r="R15" s="29"/>
      <c r="S15" s="29"/>
      <c r="T15" s="30"/>
      <c r="U15" s="75"/>
      <c r="V15" s="75"/>
      <c r="W15" s="25" t="str">
        <f aca="false">IF(Tasks[[#This Row],[Task Name]]="","",IF(N(Tasks[[#This Row],[Baseline Start]])&gt;0,Tasks[[#This Row],[Baseline Start]],Tasks[[#This Row],[_CalcStart]]))</f>
        <v/>
      </c>
      <c r="X15" s="25" t="str">
        <f aca="false">IF(Tasks[[#This Row],[Task Name]]="","",IF(N(Tasks[[#This Row],[Baseline Finish]])&gt;0,Tasks[[#This Row],[Baseline Finish]],Tasks[[#This Row],[_CalcFinish]]))</f>
        <v/>
      </c>
      <c r="Y15" s="75"/>
      <c r="Z15" s="75"/>
      <c r="AA15" s="25" t="str">
        <f aca="false">IF(Tasks[[#This Row],[Task Name]]="","",IF(Tasks[[#This Row],[_IsSummary]],MIN(INDEX(Tasks[_ShownFcstStart],Tasks[[#This Row],[_Row]]+1):INDEX(Tasks[_ShownFcstStart],Tasks[[#This Row],[_Row]]+Tasks[[#This Row],[_Descendants]])),Tasks[[#This Row],[_ShownFcstStart]]))</f>
        <v/>
      </c>
      <c r="AB15" s="25" t="str">
        <f aca="false">IF(Tasks[[#This Row],[Task Name]]="","",IF(Tasks[[#This Row],[_IsSummary]],MAX(INDEX(Tasks[_ShownFcstFinish],Tasks[[#This Row],[_Row]]+1):INDEX(Tasks[_ShownFcstFinish],Tasks[[#This Row],[_Row]]+Tasks[[#This Row],[_Descendants]])),Tasks[[#This Row],[_ShownFcstFinish]]))</f>
        <v/>
      </c>
      <c r="AC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 s="25" t="str">
        <f aca="false">IF(Tasks[[#This Row],[Task Name]]="","",IF(Tasks[[#This Row],[_IsSummary]],MIN(INDEX(Tasks[_LeafLateStart],Tasks[[#This Row],[_Row]]+1):INDEX(Tasks[_LeafLateStart],Tasks[[#This Row],[_Row]]+Tasks[[#This Row],[_Descendants]])),Tasks[[#This Row],[_LeafLateStart]]))</f>
        <v/>
      </c>
      <c r="AF15" s="25" t="str">
        <f aca="false">IF(Tasks[[#This Row],[Task Name]]="","",IF(Tasks[[#This Row],[_IsSummary]],MAX(INDEX(Tasks[_LeafLateFinish],Tasks[[#This Row],[_Row]]+1):INDEX(Tasks[_LeafLateFinish],Tasks[[#This Row],[_Row]]+Tasks[[#This Row],[_Descendants]])),Tasks[[#This Row],[_LeafLateFinish]]))</f>
        <v/>
      </c>
      <c r="AG15" s="28" t="str">
        <f aca="false">IF(Tasks[[#This Row],[Task Name]]="","",IF(Tasks[[#This Row],[_IsSummary]],MIN(INDEX(Tasks[_LeafTotalSlack],Tasks[[#This Row],[_Row]]+1):INDEX(Tasks[_LeafTotalSlack],Tasks[[#This Row],[_Row]]+Tasks[[#This Row],[_Descendants]])),Tasks[[#This Row],[_LeafTotalSlack]]))</f>
        <v/>
      </c>
      <c r="AH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 s="28" t="str">
        <f aca="false">IF(Tasks[[#This Row],[Task Name]]="","",IF(IF(Tasks[[#This Row],[_IsSummary]],COUNTIF(INDEX(Tasks[_LeafCritical],Tasks[[#This Row],[_Row]]+1):INDEX(Tasks[_LeafCritical],Tasks[[#This Row],[_Row]]+Tasks[[#This Row],[_Descendants]]),TRUE())&gt;0,Tasks[[#This Row],[_LeafCritical]]),"Yes",""))</f>
        <v/>
      </c>
      <c r="AJ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 s="89"/>
      <c r="AM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 s="28" t="str">
        <f aca="false">IF(Tasks[[#This Row],[Task Name]]="","",IF(Tasks[[#This Row],[Progress]]&gt;=1,"Complete",IF(OR(N(Tasks[[#This Row],[Actual Start]])&gt;0,Tasks[[#This Row],[Progress]]&gt;0),IF(Tasks[[#This Row],[Finish Var]]&gt;0,"Behind","In Progress"),IF(Tasks[[#This Row],[Planned Start]]&lt;StatusDate,"Late Start","Not Started"))))</f>
        <v/>
      </c>
      <c r="AO15" s="30"/>
      <c r="AP15" s="89"/>
      <c r="AQ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 s="96" t="str">
        <f aca="false">IF(Tasks[[#This Row],[Task Name]]="","",IF(Tasks[[#This Row],[_IsSummary]],SUM(INDEX(Tasks[_LeafTotalWork],Tasks[[#This Row],[_Row]]+1):INDEX(Tasks[_LeafTotalWork],Tasks[[#This Row],[_Row]]+Tasks[[#This Row],[_Descendants]])),Tasks[[#This Row],[_LeafTotalWork]]))</f>
        <v/>
      </c>
      <c r="AT15" s="97" t="str">
        <f aca="false">IF(Tasks[[#This Row],[Task Name]]="","",IF(Tasks[[#This Row],[_IsSummary]],SUM(INDEX(Tasks[_LeafTotalCost],Tasks[[#This Row],[_Row]]+1):INDEX(Tasks[_LeafTotalCost],Tasks[[#This Row],[_Row]]+Tasks[[#This Row],[_Descendants]])),Tasks[[#This Row],[_LeafTotalCost]]))</f>
        <v/>
      </c>
      <c r="AU15" s="98"/>
      <c r="AV15" s="29"/>
      <c r="AW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 s="83"/>
      <c r="AY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 s="30"/>
      <c r="BA15" s="25" t="str">
        <f aca="false">IF(Tasks[[#This Row],[Task Name]]="","",Tasks[[#This Row],[Forecast Start]])</f>
        <v/>
      </c>
      <c r="BB15" s="25" t="str">
        <f aca="false">IF(Tasks[[#This Row],[Task Name]]="","",Tasks[[#This Row],[Forecast Finish]])</f>
        <v/>
      </c>
      <c r="BC15" s="28" t="str">
        <f aca="false">IF(Tasks[[#This Row],[Task Name]]="","",IF(Tasks[[#This Row],[_IsSummary]],NETWORKDAYS.INTL(Tasks[[#This Row],[Forecast Start]],Tasks[[#This Row],[Forecast Finish]],WorkWeek,Holidays),N(Tasks[[#This Row],[Duration]])))</f>
        <v/>
      </c>
      <c r="BD15" s="96" t="str">
        <f aca="false">IF(Tasks[[#This Row],[Task Name]]="","",Tasks[[#This Row],[Work]])</f>
        <v/>
      </c>
      <c r="BE15" s="97" t="str">
        <f aca="false">IF(Tasks[[#This Row],[Task Name]]="","",Tasks[[#This Row],[Cost]])</f>
        <v/>
      </c>
      <c r="BF15" s="75"/>
      <c r="BG15" s="75"/>
      <c r="BH15" s="29"/>
      <c r="BI15" s="99"/>
      <c r="BJ15" s="98"/>
      <c r="BK15" s="28" t="str">
        <f aca="false">IF(OR(Tasks[[#This Row],[Task Name]]="",Tasks[[#This Row],[Baseline Duration]]=""),"",Tasks[[#This Row],[BL Source Duration]]-N(Tasks[[#This Row],[Baseline Duration]]))</f>
        <v/>
      </c>
      <c r="BL15" s="96" t="str">
        <f aca="false">IF(OR(Tasks[[#This Row],[Task Name]]="",Tasks[[#This Row],[Baseline Work]]=""),"",Tasks[[#This Row],[Work]]-N(Tasks[[#This Row],[Baseline Work]]))</f>
        <v/>
      </c>
      <c r="BM15" s="97" t="str">
        <f aca="false">IF(OR(Tasks[[#This Row],[Task Name]]="",Tasks[[#This Row],[Baseline Cost]]=""),"",Tasks[[#This Row],[Cost]]-N(Tasks[[#This Row],[Baseline Cost]]))</f>
        <v/>
      </c>
      <c r="BN15" s="97" t="str">
        <f aca="false">IF(Tasks[[#This Row],[Task Name]]="","",IF(Tasks[[#This Row],[_IsSummary]],SUM(INDEX(Tasks[_LeafBudget],Tasks[[#This Row],[_Row]]+1):INDEX(Tasks[_LeafBudget],Tasks[[#This Row],[_Row]]+Tasks[[#This Row],[_Descendants]])),Tasks[[#This Row],[_LeafBudget]]))</f>
        <v/>
      </c>
      <c r="BO15" s="97" t="str">
        <f aca="false">IF(Tasks[[#This Row],[Task Name]]="","",IF(Tasks[[#This Row],[_IsSummary]],SUM(INDEX(Tasks[_LeafPV],Tasks[[#This Row],[_Row]]+1):INDEX(Tasks[_LeafPV],Tasks[[#This Row],[_Row]]+Tasks[[#This Row],[_Descendants]])),Tasks[[#This Row],[_LeafPV]]))</f>
        <v/>
      </c>
      <c r="BP15" s="97" t="str">
        <f aca="false">IF(Tasks[[#This Row],[Task Name]]="","",IF(Tasks[[#This Row],[_IsSummary]],SUM(INDEX(Tasks[_LeafEV],Tasks[[#This Row],[_Row]]+1):INDEX(Tasks[_LeafEV],Tasks[[#This Row],[_Row]]+Tasks[[#This Row],[_Descendants]])),Tasks[[#This Row],[_LeafEV]]))</f>
        <v/>
      </c>
      <c r="BQ15" s="97" t="str">
        <f aca="false">IF(Tasks[[#This Row],[Task Name]]="","",IF(Tasks[[#This Row],[_IsSummary]],SUM(INDEX(Tasks[_LeafAC],Tasks[[#This Row],[_Row]]+1):INDEX(Tasks[_LeafAC],Tasks[[#This Row],[_Row]]+Tasks[[#This Row],[_Descendants]])),Tasks[[#This Row],[_LeafAC]]))</f>
        <v/>
      </c>
      <c r="BR15" s="41" t="str">
        <f aca="false">IF(Tasks[[#This Row],[Task Name]]="","",MAX(1,N(Tasks[[#This Row],[Level]])))</f>
        <v/>
      </c>
      <c r="BS15" s="41" t="n">
        <f aca="false">ROW()-ROW(Tasks[[#Headers],[ID]])</f>
        <v>10</v>
      </c>
      <c r="BT15" s="41" t="n">
        <f aca="false">IF(OR(Tasks[[#This Row],[Task Name]]="",Tasks[[#This Row],[_Level]]&lt;=1),0,IFERROR(LOOKUP(2,1/(Tasks[[#Headers],[_Level]]:Tasks[[#This Row],[_Level]]=Tasks[[#This Row],[_Level]]-1),ROW(Tasks[[#Headers],[_Level]]:Tasks[[#This Row],[_Level]])),0))</f>
        <v>0</v>
      </c>
      <c r="BU15" s="41" t="n">
        <f aca="false">IFERROR(N(INDEX(Tasks[_Level],Tasks[[#This Row],[_Row]]+1)),0)</f>
        <v>0</v>
      </c>
      <c r="BV15" s="100" t="b">
        <f aca="false">AND(Tasks[[#This Row],[Task Name]]&lt;&gt;"",Tasks[[#This Row],[_NextLevel]]&gt;Tasks[[#This Row],[_Level]])</f>
        <v>0</v>
      </c>
      <c r="BW15" s="41" t="n">
        <f aca="false">IF(Tasks[[#This Row],[_IsSummary]],COUNTIF(Tasks[WBS],Tasks[[#This Row],[WBS]]&amp;".*"),0)</f>
        <v>0</v>
      </c>
      <c r="BX15" s="41" t="n">
        <f aca="false">IF(AND(Tasks[[#This Row],[Task Name]]&lt;&gt;"",NOT(Tasks[[#This Row],[_IsSummary]])),1,0)</f>
        <v>0</v>
      </c>
      <c r="BY15" s="41" t="n">
        <f aca="false">IF(N(Tasks[[#This Row],[Pred1 UID]])=0,0,IFERROR(MATCH(Tasks[[#This Row],[Pred1 UID]],Tasks[UID],0),-1))</f>
        <v>0</v>
      </c>
      <c r="BZ15" s="41" t="n">
        <f aca="false">IF(N(Tasks[[#This Row],[Pred2 UID]])=0,0,IFERROR(MATCH(Tasks[[#This Row],[Pred2 UID]],Tasks[UID],0),-1))</f>
        <v>0</v>
      </c>
      <c r="CA15" s="41" t="n">
        <f aca="false">IF(N(Tasks[[#This Row],[Pred3 UID]])=0,0,IFERROR(MATCH(Tasks[[#This Row],[Pred3 UID]],Tasks[UID],0),-1))</f>
        <v>0</v>
      </c>
      <c r="CB15" s="41" t="n">
        <f aca="false">IF(N(Tasks[[#This Row],[Pred4 UID]])=0,0,IFERROR(MATCH(Tasks[[#This Row],[Pred4 UID]],Tasks[UID],0),-1))</f>
        <v>0</v>
      </c>
      <c r="CC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 s="101" t="n">
        <f aca="false">IF(OR(Tasks[[#This Row],[_ConstraintCode]]=2,Tasks[[#This Row],[_ConstraintCode]]=3,Tasks[[#This Row],[_ConstraintCode]]=4,Tasks[[#This Row],[_ConstraintCode]]=6),Tasks[[#This Row],[_ConstraintStart]],0)</f>
        <v>0</v>
      </c>
      <c r="CF15" s="101" t="n">
        <f aca="false">IF(OR(Tasks[[#This Row],[_ConstraintCode]]=2,Tasks[[#This Row],[_ConstraintCode]]=3,Tasks[[#This Row],[_ConstraintCode]]=5,Tasks[[#This Row],[_ConstraintCode]]=7),Tasks[[#This Row],[_ConstraintStart]],2958465)</f>
        <v>2958465</v>
      </c>
      <c r="CG1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 s="101" t="str">
        <f aca="false">IF(NOT(Tasks[[#This Row],[_IsLeaf]]=1),"",IF(N(Tasks[[#This Row],[Duration]])&lt;=0,Tasks[[#This Row],[_LeafCalcStart]],WORKDAY.INTL(Tasks[[#This Row],[_LeafCalcStart]],Tasks[[#This Row],[Duration]]-1,WorkWeek,Holidays)))</f>
        <v/>
      </c>
      <c r="CI1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 s="41" t="n">
        <f aca="false">IF(NOT(Tasks[[#This Row],[_IsLeaf]]=1),0,IF(N(Tasks[[#This Row],[Actual Finish]])&gt;0,1,MIN(1,N(Tasks[[#This Row],[% Complete]]))))</f>
        <v>0</v>
      </c>
      <c r="CL15" s="41" t="n">
        <f aca="false">IF(OR(NOT(Tasks[[#This Row],[_IsLeaf]]=1),Tasks[[#This Row],[Resource]]=""),0,N(Tasks[[#This Row],[Duration]])*HoursPerDay*IF(Tasks[[#This Row],[Units]]="",DefaultUnits,Tasks[[#This Row],[Units]]))</f>
        <v>0</v>
      </c>
      <c r="CM15" s="41" t="n">
        <f aca="false">IF(Tasks[[#This Row],[_LeafWork]]=0,0,Tasks[[#This Row],[_LeafWork]]*IFERROR(INDEX(res_Rate,MATCH(Tasks[[#This Row],[Resource]],res_Name,0)),0))</f>
        <v>0</v>
      </c>
      <c r="CN15" s="41" t="n">
        <f aca="false">Tasks[[#This Row],[_LeafWork]]+IF(Tasks[[#This Row],[_IsLeaf]]=1,SUMIFS(asg_Work,asg_TaskUID,Tasks[[#This Row],[UID]],asg_Valid,1),0)</f>
        <v>0</v>
      </c>
      <c r="CO15" s="41" t="n">
        <f aca="false">Tasks[[#This Row],[_LeafCost]]+IF(Tasks[[#This Row],[_IsLeaf]]=1,SUMIFS(asg_Cost,asg_TaskUID,Tasks[[#This Row],[UID]],asg_Valid,1),0)</f>
        <v>0</v>
      </c>
      <c r="CP15" s="41" t="n">
        <f aca="false">IF(Tasks[[#This Row],[_LeafTotalCost]]=0,Tasks[[#This Row],[_LeafAC]],Tasks[[#This Row],[_LeafAC]]*Tasks[[#This Row],[_LeafCost]]/Tasks[[#This Row],[_LeafTotalCost]])</f>
        <v>0</v>
      </c>
      <c r="CQ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 s="41" t="n">
        <f aca="false">IF(NOT(Tasks[[#This Row],[_IsLeaf]]=1),0,MAX(_xlfn.MAXIFS(Tasks[_Row],Tasks[Pred1 UID],Tasks[[#This Row],[UID]]),_xlfn.MAXIFS(Tasks[_Row],Tasks[Pred2 UID],Tasks[[#This Row],[UID]]),_xlfn.MAXIFS(Tasks[_Row],Tasks[Pred3 UID],Tasks[[#This Row],[UID]]),_xlfn.MAXIFS(Tasks[_Row],Tasks[Pred4 UID],Tasks[[#This Row],[UID]])))</f>
        <v>0</v>
      </c>
      <c r="CZ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 s="101" t="str">
        <f aca="false">IF(NOT(Tasks[[#This Row],[_IsLeaf]]=1),"",IF(N(Tasks[[#This Row],[Duration]])&lt;=0,Tasks[[#This Row],[_LeafLateFinish]],WORKDAY.INTL(Tasks[[#This Row],[_LeafLateFinish]],-(Tasks[[#This Row],[Duration]]-1),WorkWeek,Holidays)))</f>
        <v/>
      </c>
      <c r="DC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 s="100" t="b">
        <f aca="false">AND(Tasks[[#This Row],[_IsLeaf]]=1,Tasks[[#This Row],[_LeafProgress]]&lt;1,N(Tasks[[#This Row],[_LeafTotalSlack]])&lt;=CriticalSlackDays)</f>
        <v>0</v>
      </c>
      <c r="DE15" s="41" t="n">
        <f aca="false">IF(AND(Tasks[[#This Row],[_IsLeaf]]=1,Tasks[[#This Row],[_ConstraintCode]]=1,Tasks[[#This Row],[Mode]]&lt;&gt;"Manual",N(Tasks[[#This Row],[Actual Start]])=0),MAX(0,N(Tasks[[#This Row],[Free Slack]])),0)</f>
        <v>0</v>
      </c>
      <c r="DF15" s="101" t="str">
        <f aca="false">IF(NOT(Tasks[[#This Row],[_IsLeaf]]=1),"",IF(Tasks[[#This Row],[_AlapShift]]=0,Tasks[[#This Row],[_LeafCalcStart]],WORKDAY.INTL(Tasks[[#This Row],[_LeafCalcStart]],Tasks[[#This Row],[_AlapShift]],WorkWeek,Holidays)))</f>
        <v/>
      </c>
      <c r="DG15" s="101" t="str">
        <f aca="false">IF(NOT(Tasks[[#This Row],[_IsLeaf]]=1),"",IF(Tasks[[#This Row],[_AlapShift]]=0,Tasks[[#This Row],[_LeafCalcFinish]],WORKDAY.INTL(Tasks[[#This Row],[_LeafCalcFinish]],Tasks[[#This Row],[_AlapShift]],WorkWeek,Holidays)))</f>
        <v/>
      </c>
      <c r="DH15" s="101" t="str">
        <f aca="false">IF(NOT(Tasks[[#This Row],[_IsLeaf]]=1),"",IF(Tasks[[#This Row],[_AlapShift]]=0,Tasks[[#This Row],[_LeafFcstStart]],WORKDAY.INTL(Tasks[[#This Row],[_LeafFcstStart]],Tasks[[#This Row],[_AlapShift]],WorkWeek,Holidays)))</f>
        <v/>
      </c>
      <c r="DI15" s="101" t="str">
        <f aca="false">IF(NOT(Tasks[[#This Row],[_IsLeaf]]=1),"",IF(Tasks[[#This Row],[_AlapShift]]=0,Tasks[[#This Row],[_LeafFcstFinish]],WORKDAY.INTL(Tasks[[#This Row],[_LeafFcstFinish]],Tasks[[#This Row],[_AlapShift]],WorkWeek,Holidays)))</f>
        <v/>
      </c>
      <c r="DJ15" s="101" t="str">
        <f aca="false">IF(Tasks[[#This Row],[Task Name]]="","",IF(Tasks[[#This Row],[_IsSummary]],MIN(INDEX(Tasks[_ShownCalcStart],Tasks[[#This Row],[_Row]]+1):INDEX(Tasks[_ShownCalcStart],Tasks[[#This Row],[_Row]]+Tasks[[#This Row],[_Descendants]])),Tasks[[#This Row],[_ShownCalcStart]]))</f>
        <v/>
      </c>
      <c r="DK15" s="101" t="str">
        <f aca="false">IF(Tasks[[#This Row],[Task Name]]="","",IF(Tasks[[#This Row],[_IsSummary]],MAX(INDEX(Tasks[_ShownCalcFinish],Tasks[[#This Row],[_Row]]+1):INDEX(Tasks[_ShownCalcFinish],Tasks[[#This Row],[_Row]]+Tasks[[#This Row],[_Descendants]])),Tasks[[#This Row],[_ShownCalcFinish]]))</f>
        <v/>
      </c>
      <c r="D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 s="41" t="n">
        <f aca="false">IF(AND(Tasks[[#This Row],[_IsLeaf]]=1,Tasks[[#This Row],[_LeafTotalWork]]&gt;0),NETWORKDAYS.INTL(ProjectStart,Tasks[[#This Row],[_ShownFcstStart]],WorkWeek,Holidays),0)</f>
        <v>0</v>
      </c>
      <c r="DY15" s="41" t="n">
        <f aca="false">IF(AND(Tasks[[#This Row],[_IsLeaf]]=1,Tasks[[#This Row],[_LeafTotalWork]]&gt;0),MAX(Tasks[[#This Row],[_StartWorkday]],NETWORKDAYS.INTL(ProjectStart,Tasks[[#This Row],[_ShownFcstFinish]],WorkWeek,Holidays)),0)</f>
        <v>0</v>
      </c>
      <c r="DZ15" s="41" t="n">
        <f aca="false">IF(AND(Tasks[[#This Row],[_IsLeaf]]=1,Tasks[[#This Row],[_LeafTotalWork]]&gt;0),Tasks[[#This Row],[_LeafWork]]/(Tasks[[#This Row],[_FinishWorkday]]-Tasks[[#This Row],[_StartWorkday]]+1),0)</f>
        <v>0</v>
      </c>
      <c r="EA15" s="41" t="n">
        <f aca="false">Tasks[[#This Row],[_WorkPerWorkday]]*(Tasks[[#This Row],[_StartWorkday]]-1)</f>
        <v>-0</v>
      </c>
      <c r="EB15" s="41" t="n">
        <f aca="false">IF(Tasks[[#This Row],[_IsLeaf]]=1,MAX(N(Tasks[[#This Row],[Duration]]),0.1),0)</f>
        <v>0</v>
      </c>
      <c r="EC15" s="41" t="n">
        <f aca="false">Tasks[[#This Row],[_WeightDur]]*Tasks[[#This Row],[_LeafProgress]]</f>
        <v>0</v>
      </c>
      <c r="ED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 s="41" t="str">
        <f aca="false">IF(AND(Tasks[[#This Row],[_IsLeaf]]=1,N(Tasks[[#This Row],[Duration]])=0,Tasks[[#This Row],[_LeafProgress]]&lt;1),Tasks[[#This Row],[_ShownFcstFinish]]+Tasks[[#This Row],[_Row]]/100000,"")</f>
        <v/>
      </c>
      <c r="EF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 s="41" t="n">
        <f aca="false">IF(NOT(Tasks[[#This Row],[_IsLeaf]]=1),0,IF(Tasks[[#This Row],[Baseline Cost]]="",Tasks[[#This Row],[_LeafTotalCost]],N(Tasks[[#This Row],[Baseline Cost]])))</f>
        <v>0</v>
      </c>
      <c r="EH15" s="41" t="n">
        <f aca="false">Tasks[[#This Row],[_LeafBudget]]*Tasks[[#This Row],[_PlannedPct]]</f>
        <v>0</v>
      </c>
      <c r="EI15" s="41" t="n">
        <f aca="false">Tasks[[#This Row],[_LeafBudget]]*Tasks[[#This Row],[_LeafProgress]]</f>
        <v>0</v>
      </c>
      <c r="EJ15" s="41" t="n">
        <f aca="false">IF(NOT(Tasks[[#This Row],[_IsLeaf]]=1),0,IF(Tasks[[#This Row],[Actual Cost]]="",Tasks[[#This Row],[_LeafTotalCost]]*Tasks[[#This Row],[_LeafProgress]],N(Tasks[[#This Row],[Actual Cost]])))</f>
        <v>0</v>
      </c>
      <c r="EK15" s="41" t="str">
        <f aca="false">IF(Tasks[[#This Row],[Task Name]]="","",LEFT(Tasks[[#This Row],[WBS]],FIND(".",Tasks[[#This Row],[WBS]]&amp;".")-1))</f>
        <v/>
      </c>
      <c r="EL15" s="41" t="str">
        <f aca="false">IF(AND(Tasks[[#This Row],[Task Name]]&lt;&gt;"",Tasks[[#This Row],[_Level]]=1),Tasks[[#This Row],[_Row]],"")</f>
        <v/>
      </c>
      <c r="EM15" s="41" t="str">
        <f aca="false">IF(AND(Tasks[[#This Row],[_IsLeaf]]=1,N(Tasks[[#This Row],[Duration]])=0),Tasks[[#This Row],[Planned Finish]]+Tasks[[#This Row],[_Row]]/100000,"")</f>
        <v/>
      </c>
      <c r="EN15" s="41" t="str">
        <f aca="false">IF(AND(Tasks[[#This Row],[_IsLeaf]]=1,Tasks[[#This Row],[_LeafProgress]]&lt;1,OR(N(Tasks[[#This Row],[Finish Var]])&gt;0,Tasks[[#This Row],[Status]]="Late Start")),MAX(0,Tasks[[#This Row],[Finish Var]])+1-Tasks[[#This Row],[_Row]]/1000000,"")</f>
        <v/>
      </c>
      <c r="EO15" s="41" t="str">
        <f aca="false">IF(AND(Tasks[[#This Row],[_IsLeaf]]=1,N(Tasks[[#This Row],[Actual Start]])=0,Tasks[[#This Row],[_ShownFcstStart]]&gt;=StatusDate,Tasks[[#This Row],[_ShownFcstStart]]&lt;=LookaheadEnd),Tasks[[#This Row],[_ShownFcstStart]]+Tasks[[#This Row],[_Row]]/100000,"")</f>
        <v/>
      </c>
      <c r="EP15" s="41" t="str">
        <f aca="false">IF(AND(Tasks[[#This Row],[_IsLeaf]]=1,Tasks[[#This Row],[_LeafProgress]]&lt;1,Tasks[[#This Row],[_ShownFcstFinish]]&gt;=StatusDate,Tasks[[#This Row],[_ShownFcstFinish]]&lt;=LookaheadEnd),Tasks[[#This Row],[_ShownFcstFinish]]+Tasks[[#This Row],[_Row]]/100000,"")</f>
        <v/>
      </c>
      <c r="EQ15" s="41" t="str">
        <f aca="false">IF(Tasks[[#This Row],[_LeafCritical]],Tasks[[#This Row],[_ShownFcstStart]]+Tasks[[#This Row],[_Row]]/100000,"")</f>
        <v/>
      </c>
      <c r="ER15" s="41" t="n">
        <f aca="false">Tasks[[#This Row],[_LeafWork]]*Tasks[[#This Row],[_LeafProgress]]</f>
        <v>0</v>
      </c>
      <c r="ES15" s="101" t="str">
        <f aca="false">IF(AND(Tasks[[#This Row],[_IsLeaf]]=1,Tasks[[#This Row],[_LeafProgress]]&gt;=1),IF(N(Tasks[[#This Row],[Actual Finish]])&gt;0,Tasks[[#This Row],[Actual Finish]],Tasks[[#This Row],[_ShownFcstFinish]]),"")</f>
        <v/>
      </c>
      <c r="ET15" s="41" t="n">
        <f aca="false">IF(Tasks[[#This Row],[_IsLeaf]]=1,N(Tasks[[#This Row],[Story Points]]),0)</f>
        <v>0</v>
      </c>
      <c r="EU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29"/>
      <c r="O16" s="29"/>
      <c r="P16" s="29"/>
      <c r="Q16" s="29"/>
      <c r="R16" s="29"/>
      <c r="S16" s="29"/>
      <c r="T16" s="30"/>
      <c r="U16" s="75"/>
      <c r="V16" s="75"/>
      <c r="W16" s="25" t="str">
        <f aca="false">IF(Tasks[[#This Row],[Task Name]]="","",IF(N(Tasks[[#This Row],[Baseline Start]])&gt;0,Tasks[[#This Row],[Baseline Start]],Tasks[[#This Row],[_CalcStart]]))</f>
        <v/>
      </c>
      <c r="X16" s="25" t="str">
        <f aca="false">IF(Tasks[[#This Row],[Task Name]]="","",IF(N(Tasks[[#This Row],[Baseline Finish]])&gt;0,Tasks[[#This Row],[Baseline Finish]],Tasks[[#This Row],[_CalcFinish]]))</f>
        <v/>
      </c>
      <c r="Y16" s="75"/>
      <c r="Z16" s="75"/>
      <c r="AA16" s="25" t="str">
        <f aca="false">IF(Tasks[[#This Row],[Task Name]]="","",IF(Tasks[[#This Row],[_IsSummary]],MIN(INDEX(Tasks[_ShownFcstStart],Tasks[[#This Row],[_Row]]+1):INDEX(Tasks[_ShownFcstStart],Tasks[[#This Row],[_Row]]+Tasks[[#This Row],[_Descendants]])),Tasks[[#This Row],[_ShownFcstStart]]))</f>
        <v/>
      </c>
      <c r="AB16" s="25" t="str">
        <f aca="false">IF(Tasks[[#This Row],[Task Name]]="","",IF(Tasks[[#This Row],[_IsSummary]],MAX(INDEX(Tasks[_ShownFcstFinish],Tasks[[#This Row],[_Row]]+1):INDEX(Tasks[_ShownFcstFinish],Tasks[[#This Row],[_Row]]+Tasks[[#This Row],[_Descendants]])),Tasks[[#This Row],[_ShownFcstFinish]]))</f>
        <v/>
      </c>
      <c r="AC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 s="25" t="str">
        <f aca="false">IF(Tasks[[#This Row],[Task Name]]="","",IF(Tasks[[#This Row],[_IsSummary]],MIN(INDEX(Tasks[_LeafLateStart],Tasks[[#This Row],[_Row]]+1):INDEX(Tasks[_LeafLateStart],Tasks[[#This Row],[_Row]]+Tasks[[#This Row],[_Descendants]])),Tasks[[#This Row],[_LeafLateStart]]))</f>
        <v/>
      </c>
      <c r="AF16" s="25" t="str">
        <f aca="false">IF(Tasks[[#This Row],[Task Name]]="","",IF(Tasks[[#This Row],[_IsSummary]],MAX(INDEX(Tasks[_LeafLateFinish],Tasks[[#This Row],[_Row]]+1):INDEX(Tasks[_LeafLateFinish],Tasks[[#This Row],[_Row]]+Tasks[[#This Row],[_Descendants]])),Tasks[[#This Row],[_LeafLateFinish]]))</f>
        <v/>
      </c>
      <c r="AG16" s="28" t="str">
        <f aca="false">IF(Tasks[[#This Row],[Task Name]]="","",IF(Tasks[[#This Row],[_IsSummary]],MIN(INDEX(Tasks[_LeafTotalSlack],Tasks[[#This Row],[_Row]]+1):INDEX(Tasks[_LeafTotalSlack],Tasks[[#This Row],[_Row]]+Tasks[[#This Row],[_Descendants]])),Tasks[[#This Row],[_LeafTotalSlack]]))</f>
        <v/>
      </c>
      <c r="AH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 s="28" t="str">
        <f aca="false">IF(Tasks[[#This Row],[Task Name]]="","",IF(IF(Tasks[[#This Row],[_IsSummary]],COUNTIF(INDEX(Tasks[_LeafCritical],Tasks[[#This Row],[_Row]]+1):INDEX(Tasks[_LeafCritical],Tasks[[#This Row],[_Row]]+Tasks[[#This Row],[_Descendants]]),TRUE())&gt;0,Tasks[[#This Row],[_LeafCritical]]),"Yes",""))</f>
        <v/>
      </c>
      <c r="AJ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 s="89"/>
      <c r="AM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 s="28" t="str">
        <f aca="false">IF(Tasks[[#This Row],[Task Name]]="","",IF(Tasks[[#This Row],[Progress]]&gt;=1,"Complete",IF(OR(N(Tasks[[#This Row],[Actual Start]])&gt;0,Tasks[[#This Row],[Progress]]&gt;0),IF(Tasks[[#This Row],[Finish Var]]&gt;0,"Behind","In Progress"),IF(Tasks[[#This Row],[Planned Start]]&lt;StatusDate,"Late Start","Not Started"))))</f>
        <v/>
      </c>
      <c r="AO16" s="30"/>
      <c r="AP16" s="89"/>
      <c r="AQ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 s="96" t="str">
        <f aca="false">IF(Tasks[[#This Row],[Task Name]]="","",IF(Tasks[[#This Row],[_IsSummary]],SUM(INDEX(Tasks[_LeafTotalWork],Tasks[[#This Row],[_Row]]+1):INDEX(Tasks[_LeafTotalWork],Tasks[[#This Row],[_Row]]+Tasks[[#This Row],[_Descendants]])),Tasks[[#This Row],[_LeafTotalWork]]))</f>
        <v/>
      </c>
      <c r="AT16" s="97" t="str">
        <f aca="false">IF(Tasks[[#This Row],[Task Name]]="","",IF(Tasks[[#This Row],[_IsSummary]],SUM(INDEX(Tasks[_LeafTotalCost],Tasks[[#This Row],[_Row]]+1):INDEX(Tasks[_LeafTotalCost],Tasks[[#This Row],[_Row]]+Tasks[[#This Row],[_Descendants]])),Tasks[[#This Row],[_LeafTotalCost]]))</f>
        <v/>
      </c>
      <c r="AU16" s="98"/>
      <c r="AV16" s="29"/>
      <c r="AW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 s="83"/>
      <c r="AY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 s="30"/>
      <c r="BA16" s="25" t="str">
        <f aca="false">IF(Tasks[[#This Row],[Task Name]]="","",Tasks[[#This Row],[Forecast Start]])</f>
        <v/>
      </c>
      <c r="BB16" s="25" t="str">
        <f aca="false">IF(Tasks[[#This Row],[Task Name]]="","",Tasks[[#This Row],[Forecast Finish]])</f>
        <v/>
      </c>
      <c r="BC16" s="28" t="str">
        <f aca="false">IF(Tasks[[#This Row],[Task Name]]="","",IF(Tasks[[#This Row],[_IsSummary]],NETWORKDAYS.INTL(Tasks[[#This Row],[Forecast Start]],Tasks[[#This Row],[Forecast Finish]],WorkWeek,Holidays),N(Tasks[[#This Row],[Duration]])))</f>
        <v/>
      </c>
      <c r="BD16" s="96" t="str">
        <f aca="false">IF(Tasks[[#This Row],[Task Name]]="","",Tasks[[#This Row],[Work]])</f>
        <v/>
      </c>
      <c r="BE16" s="97" t="str">
        <f aca="false">IF(Tasks[[#This Row],[Task Name]]="","",Tasks[[#This Row],[Cost]])</f>
        <v/>
      </c>
      <c r="BF16" s="75"/>
      <c r="BG16" s="75"/>
      <c r="BH16" s="29"/>
      <c r="BI16" s="99"/>
      <c r="BJ16" s="98"/>
      <c r="BK16" s="28" t="str">
        <f aca="false">IF(OR(Tasks[[#This Row],[Task Name]]="",Tasks[[#This Row],[Baseline Duration]]=""),"",Tasks[[#This Row],[BL Source Duration]]-N(Tasks[[#This Row],[Baseline Duration]]))</f>
        <v/>
      </c>
      <c r="BL16" s="96" t="str">
        <f aca="false">IF(OR(Tasks[[#This Row],[Task Name]]="",Tasks[[#This Row],[Baseline Work]]=""),"",Tasks[[#This Row],[Work]]-N(Tasks[[#This Row],[Baseline Work]]))</f>
        <v/>
      </c>
      <c r="BM16" s="97" t="str">
        <f aca="false">IF(OR(Tasks[[#This Row],[Task Name]]="",Tasks[[#This Row],[Baseline Cost]]=""),"",Tasks[[#This Row],[Cost]]-N(Tasks[[#This Row],[Baseline Cost]]))</f>
        <v/>
      </c>
      <c r="BN16" s="97" t="str">
        <f aca="false">IF(Tasks[[#This Row],[Task Name]]="","",IF(Tasks[[#This Row],[_IsSummary]],SUM(INDEX(Tasks[_LeafBudget],Tasks[[#This Row],[_Row]]+1):INDEX(Tasks[_LeafBudget],Tasks[[#This Row],[_Row]]+Tasks[[#This Row],[_Descendants]])),Tasks[[#This Row],[_LeafBudget]]))</f>
        <v/>
      </c>
      <c r="BO16" s="97" t="str">
        <f aca="false">IF(Tasks[[#This Row],[Task Name]]="","",IF(Tasks[[#This Row],[_IsSummary]],SUM(INDEX(Tasks[_LeafPV],Tasks[[#This Row],[_Row]]+1):INDEX(Tasks[_LeafPV],Tasks[[#This Row],[_Row]]+Tasks[[#This Row],[_Descendants]])),Tasks[[#This Row],[_LeafPV]]))</f>
        <v/>
      </c>
      <c r="BP16" s="97" t="str">
        <f aca="false">IF(Tasks[[#This Row],[Task Name]]="","",IF(Tasks[[#This Row],[_IsSummary]],SUM(INDEX(Tasks[_LeafEV],Tasks[[#This Row],[_Row]]+1):INDEX(Tasks[_LeafEV],Tasks[[#This Row],[_Row]]+Tasks[[#This Row],[_Descendants]])),Tasks[[#This Row],[_LeafEV]]))</f>
        <v/>
      </c>
      <c r="BQ16" s="97" t="str">
        <f aca="false">IF(Tasks[[#This Row],[Task Name]]="","",IF(Tasks[[#This Row],[_IsSummary]],SUM(INDEX(Tasks[_LeafAC],Tasks[[#This Row],[_Row]]+1):INDEX(Tasks[_LeafAC],Tasks[[#This Row],[_Row]]+Tasks[[#This Row],[_Descendants]])),Tasks[[#This Row],[_LeafAC]]))</f>
        <v/>
      </c>
      <c r="BR16" s="41" t="str">
        <f aca="false">IF(Tasks[[#This Row],[Task Name]]="","",MAX(1,N(Tasks[[#This Row],[Level]])))</f>
        <v/>
      </c>
      <c r="BS16" s="41" t="n">
        <f aca="false">ROW()-ROW(Tasks[[#Headers],[ID]])</f>
        <v>11</v>
      </c>
      <c r="BT16" s="41" t="n">
        <f aca="false">IF(OR(Tasks[[#This Row],[Task Name]]="",Tasks[[#This Row],[_Level]]&lt;=1),0,IFERROR(LOOKUP(2,1/(Tasks[[#Headers],[_Level]]:Tasks[[#This Row],[_Level]]=Tasks[[#This Row],[_Level]]-1),ROW(Tasks[[#Headers],[_Level]]:Tasks[[#This Row],[_Level]])),0))</f>
        <v>0</v>
      </c>
      <c r="BU16" s="41" t="n">
        <f aca="false">IFERROR(N(INDEX(Tasks[_Level],Tasks[[#This Row],[_Row]]+1)),0)</f>
        <v>0</v>
      </c>
      <c r="BV16" s="100" t="b">
        <f aca="false">AND(Tasks[[#This Row],[Task Name]]&lt;&gt;"",Tasks[[#This Row],[_NextLevel]]&gt;Tasks[[#This Row],[_Level]])</f>
        <v>0</v>
      </c>
      <c r="BW16" s="41" t="n">
        <f aca="false">IF(Tasks[[#This Row],[_IsSummary]],COUNTIF(Tasks[WBS],Tasks[[#This Row],[WBS]]&amp;".*"),0)</f>
        <v>0</v>
      </c>
      <c r="BX16" s="41" t="n">
        <f aca="false">IF(AND(Tasks[[#This Row],[Task Name]]&lt;&gt;"",NOT(Tasks[[#This Row],[_IsSummary]])),1,0)</f>
        <v>0</v>
      </c>
      <c r="BY16" s="41" t="n">
        <f aca="false">IF(N(Tasks[[#This Row],[Pred1 UID]])=0,0,IFERROR(MATCH(Tasks[[#This Row],[Pred1 UID]],Tasks[UID],0),-1))</f>
        <v>0</v>
      </c>
      <c r="BZ16" s="41" t="n">
        <f aca="false">IF(N(Tasks[[#This Row],[Pred2 UID]])=0,0,IFERROR(MATCH(Tasks[[#This Row],[Pred2 UID]],Tasks[UID],0),-1))</f>
        <v>0</v>
      </c>
      <c r="CA16" s="41" t="n">
        <f aca="false">IF(N(Tasks[[#This Row],[Pred3 UID]])=0,0,IFERROR(MATCH(Tasks[[#This Row],[Pred3 UID]],Tasks[UID],0),-1))</f>
        <v>0</v>
      </c>
      <c r="CB16" s="41" t="n">
        <f aca="false">IF(N(Tasks[[#This Row],[Pred4 UID]])=0,0,IFERROR(MATCH(Tasks[[#This Row],[Pred4 UID]],Tasks[UID],0),-1))</f>
        <v>0</v>
      </c>
      <c r="CC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 s="101" t="n">
        <f aca="false">IF(OR(Tasks[[#This Row],[_ConstraintCode]]=2,Tasks[[#This Row],[_ConstraintCode]]=3,Tasks[[#This Row],[_ConstraintCode]]=4,Tasks[[#This Row],[_ConstraintCode]]=6),Tasks[[#This Row],[_ConstraintStart]],0)</f>
        <v>0</v>
      </c>
      <c r="CF16" s="101" t="n">
        <f aca="false">IF(OR(Tasks[[#This Row],[_ConstraintCode]]=2,Tasks[[#This Row],[_ConstraintCode]]=3,Tasks[[#This Row],[_ConstraintCode]]=5,Tasks[[#This Row],[_ConstraintCode]]=7),Tasks[[#This Row],[_ConstraintStart]],2958465)</f>
        <v>2958465</v>
      </c>
      <c r="CG1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 s="101" t="str">
        <f aca="false">IF(NOT(Tasks[[#This Row],[_IsLeaf]]=1),"",IF(N(Tasks[[#This Row],[Duration]])&lt;=0,Tasks[[#This Row],[_LeafCalcStart]],WORKDAY.INTL(Tasks[[#This Row],[_LeafCalcStart]],Tasks[[#This Row],[Duration]]-1,WorkWeek,Holidays)))</f>
        <v/>
      </c>
      <c r="CI1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 s="41" t="n">
        <f aca="false">IF(NOT(Tasks[[#This Row],[_IsLeaf]]=1),0,IF(N(Tasks[[#This Row],[Actual Finish]])&gt;0,1,MIN(1,N(Tasks[[#This Row],[% Complete]]))))</f>
        <v>0</v>
      </c>
      <c r="CL16" s="41" t="n">
        <f aca="false">IF(OR(NOT(Tasks[[#This Row],[_IsLeaf]]=1),Tasks[[#This Row],[Resource]]=""),0,N(Tasks[[#This Row],[Duration]])*HoursPerDay*IF(Tasks[[#This Row],[Units]]="",DefaultUnits,Tasks[[#This Row],[Units]]))</f>
        <v>0</v>
      </c>
      <c r="CM16" s="41" t="n">
        <f aca="false">IF(Tasks[[#This Row],[_LeafWork]]=0,0,Tasks[[#This Row],[_LeafWork]]*IFERROR(INDEX(res_Rate,MATCH(Tasks[[#This Row],[Resource]],res_Name,0)),0))</f>
        <v>0</v>
      </c>
      <c r="CN16" s="41" t="n">
        <f aca="false">Tasks[[#This Row],[_LeafWork]]+IF(Tasks[[#This Row],[_IsLeaf]]=1,SUMIFS(asg_Work,asg_TaskUID,Tasks[[#This Row],[UID]],asg_Valid,1),0)</f>
        <v>0</v>
      </c>
      <c r="CO16" s="41" t="n">
        <f aca="false">Tasks[[#This Row],[_LeafCost]]+IF(Tasks[[#This Row],[_IsLeaf]]=1,SUMIFS(asg_Cost,asg_TaskUID,Tasks[[#This Row],[UID]],asg_Valid,1),0)</f>
        <v>0</v>
      </c>
      <c r="CP16" s="41" t="n">
        <f aca="false">IF(Tasks[[#This Row],[_LeafTotalCost]]=0,Tasks[[#This Row],[_LeafAC]],Tasks[[#This Row],[_LeafAC]]*Tasks[[#This Row],[_LeafCost]]/Tasks[[#This Row],[_LeafTotalCost]])</f>
        <v>0</v>
      </c>
      <c r="CQ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 s="41" t="n">
        <f aca="false">IF(NOT(Tasks[[#This Row],[_IsLeaf]]=1),0,MAX(_xlfn.MAXIFS(Tasks[_Row],Tasks[Pred1 UID],Tasks[[#This Row],[UID]]),_xlfn.MAXIFS(Tasks[_Row],Tasks[Pred2 UID],Tasks[[#This Row],[UID]]),_xlfn.MAXIFS(Tasks[_Row],Tasks[Pred3 UID],Tasks[[#This Row],[UID]]),_xlfn.MAXIFS(Tasks[_Row],Tasks[Pred4 UID],Tasks[[#This Row],[UID]])))</f>
        <v>0</v>
      </c>
      <c r="CZ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 s="101" t="str">
        <f aca="false">IF(NOT(Tasks[[#This Row],[_IsLeaf]]=1),"",IF(N(Tasks[[#This Row],[Duration]])&lt;=0,Tasks[[#This Row],[_LeafLateFinish]],WORKDAY.INTL(Tasks[[#This Row],[_LeafLateFinish]],-(Tasks[[#This Row],[Duration]]-1),WorkWeek,Holidays)))</f>
        <v/>
      </c>
      <c r="DC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 s="100" t="b">
        <f aca="false">AND(Tasks[[#This Row],[_IsLeaf]]=1,Tasks[[#This Row],[_LeafProgress]]&lt;1,N(Tasks[[#This Row],[_LeafTotalSlack]])&lt;=CriticalSlackDays)</f>
        <v>0</v>
      </c>
      <c r="DE16" s="41" t="n">
        <f aca="false">IF(AND(Tasks[[#This Row],[_IsLeaf]]=1,Tasks[[#This Row],[_ConstraintCode]]=1,Tasks[[#This Row],[Mode]]&lt;&gt;"Manual",N(Tasks[[#This Row],[Actual Start]])=0),MAX(0,N(Tasks[[#This Row],[Free Slack]])),0)</f>
        <v>0</v>
      </c>
      <c r="DF16" s="101" t="str">
        <f aca="false">IF(NOT(Tasks[[#This Row],[_IsLeaf]]=1),"",IF(Tasks[[#This Row],[_AlapShift]]=0,Tasks[[#This Row],[_LeafCalcStart]],WORKDAY.INTL(Tasks[[#This Row],[_LeafCalcStart]],Tasks[[#This Row],[_AlapShift]],WorkWeek,Holidays)))</f>
        <v/>
      </c>
      <c r="DG16" s="101" t="str">
        <f aca="false">IF(NOT(Tasks[[#This Row],[_IsLeaf]]=1),"",IF(Tasks[[#This Row],[_AlapShift]]=0,Tasks[[#This Row],[_LeafCalcFinish]],WORKDAY.INTL(Tasks[[#This Row],[_LeafCalcFinish]],Tasks[[#This Row],[_AlapShift]],WorkWeek,Holidays)))</f>
        <v/>
      </c>
      <c r="DH16" s="101" t="str">
        <f aca="false">IF(NOT(Tasks[[#This Row],[_IsLeaf]]=1),"",IF(Tasks[[#This Row],[_AlapShift]]=0,Tasks[[#This Row],[_LeafFcstStart]],WORKDAY.INTL(Tasks[[#This Row],[_LeafFcstStart]],Tasks[[#This Row],[_AlapShift]],WorkWeek,Holidays)))</f>
        <v/>
      </c>
      <c r="DI16" s="101" t="str">
        <f aca="false">IF(NOT(Tasks[[#This Row],[_IsLeaf]]=1),"",IF(Tasks[[#This Row],[_AlapShift]]=0,Tasks[[#This Row],[_LeafFcstFinish]],WORKDAY.INTL(Tasks[[#This Row],[_LeafFcstFinish]],Tasks[[#This Row],[_AlapShift]],WorkWeek,Holidays)))</f>
        <v/>
      </c>
      <c r="DJ16" s="101" t="str">
        <f aca="false">IF(Tasks[[#This Row],[Task Name]]="","",IF(Tasks[[#This Row],[_IsSummary]],MIN(INDEX(Tasks[_ShownCalcStart],Tasks[[#This Row],[_Row]]+1):INDEX(Tasks[_ShownCalcStart],Tasks[[#This Row],[_Row]]+Tasks[[#This Row],[_Descendants]])),Tasks[[#This Row],[_ShownCalcStart]]))</f>
        <v/>
      </c>
      <c r="DK16" s="101" t="str">
        <f aca="false">IF(Tasks[[#This Row],[Task Name]]="","",IF(Tasks[[#This Row],[_IsSummary]],MAX(INDEX(Tasks[_ShownCalcFinish],Tasks[[#This Row],[_Row]]+1):INDEX(Tasks[_ShownCalcFinish],Tasks[[#This Row],[_Row]]+Tasks[[#This Row],[_Descendants]])),Tasks[[#This Row],[_ShownCalcFinish]]))</f>
        <v/>
      </c>
      <c r="D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 s="41" t="n">
        <f aca="false">IF(AND(Tasks[[#This Row],[_IsLeaf]]=1,Tasks[[#This Row],[_LeafTotalWork]]&gt;0),NETWORKDAYS.INTL(ProjectStart,Tasks[[#This Row],[_ShownFcstStart]],WorkWeek,Holidays),0)</f>
        <v>0</v>
      </c>
      <c r="DY16" s="41" t="n">
        <f aca="false">IF(AND(Tasks[[#This Row],[_IsLeaf]]=1,Tasks[[#This Row],[_LeafTotalWork]]&gt;0),MAX(Tasks[[#This Row],[_StartWorkday]],NETWORKDAYS.INTL(ProjectStart,Tasks[[#This Row],[_ShownFcstFinish]],WorkWeek,Holidays)),0)</f>
        <v>0</v>
      </c>
      <c r="DZ16" s="41" t="n">
        <f aca="false">IF(AND(Tasks[[#This Row],[_IsLeaf]]=1,Tasks[[#This Row],[_LeafTotalWork]]&gt;0),Tasks[[#This Row],[_LeafWork]]/(Tasks[[#This Row],[_FinishWorkday]]-Tasks[[#This Row],[_StartWorkday]]+1),0)</f>
        <v>0</v>
      </c>
      <c r="EA16" s="41" t="n">
        <f aca="false">Tasks[[#This Row],[_WorkPerWorkday]]*(Tasks[[#This Row],[_StartWorkday]]-1)</f>
        <v>-0</v>
      </c>
      <c r="EB16" s="41" t="n">
        <f aca="false">IF(Tasks[[#This Row],[_IsLeaf]]=1,MAX(N(Tasks[[#This Row],[Duration]]),0.1),0)</f>
        <v>0</v>
      </c>
      <c r="EC16" s="41" t="n">
        <f aca="false">Tasks[[#This Row],[_WeightDur]]*Tasks[[#This Row],[_LeafProgress]]</f>
        <v>0</v>
      </c>
      <c r="ED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 s="41" t="str">
        <f aca="false">IF(AND(Tasks[[#This Row],[_IsLeaf]]=1,N(Tasks[[#This Row],[Duration]])=0,Tasks[[#This Row],[_LeafProgress]]&lt;1),Tasks[[#This Row],[_ShownFcstFinish]]+Tasks[[#This Row],[_Row]]/100000,"")</f>
        <v/>
      </c>
      <c r="EF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 s="41" t="n">
        <f aca="false">IF(NOT(Tasks[[#This Row],[_IsLeaf]]=1),0,IF(Tasks[[#This Row],[Baseline Cost]]="",Tasks[[#This Row],[_LeafTotalCost]],N(Tasks[[#This Row],[Baseline Cost]])))</f>
        <v>0</v>
      </c>
      <c r="EH16" s="41" t="n">
        <f aca="false">Tasks[[#This Row],[_LeafBudget]]*Tasks[[#This Row],[_PlannedPct]]</f>
        <v>0</v>
      </c>
      <c r="EI16" s="41" t="n">
        <f aca="false">Tasks[[#This Row],[_LeafBudget]]*Tasks[[#This Row],[_LeafProgress]]</f>
        <v>0</v>
      </c>
      <c r="EJ16" s="41" t="n">
        <f aca="false">IF(NOT(Tasks[[#This Row],[_IsLeaf]]=1),0,IF(Tasks[[#This Row],[Actual Cost]]="",Tasks[[#This Row],[_LeafTotalCost]]*Tasks[[#This Row],[_LeafProgress]],N(Tasks[[#This Row],[Actual Cost]])))</f>
        <v>0</v>
      </c>
      <c r="EK16" s="41" t="str">
        <f aca="false">IF(Tasks[[#This Row],[Task Name]]="","",LEFT(Tasks[[#This Row],[WBS]],FIND(".",Tasks[[#This Row],[WBS]]&amp;".")-1))</f>
        <v/>
      </c>
      <c r="EL16" s="41" t="str">
        <f aca="false">IF(AND(Tasks[[#This Row],[Task Name]]&lt;&gt;"",Tasks[[#This Row],[_Level]]=1),Tasks[[#This Row],[_Row]],"")</f>
        <v/>
      </c>
      <c r="EM16" s="41" t="str">
        <f aca="false">IF(AND(Tasks[[#This Row],[_IsLeaf]]=1,N(Tasks[[#This Row],[Duration]])=0),Tasks[[#This Row],[Planned Finish]]+Tasks[[#This Row],[_Row]]/100000,"")</f>
        <v/>
      </c>
      <c r="EN16" s="41" t="str">
        <f aca="false">IF(AND(Tasks[[#This Row],[_IsLeaf]]=1,Tasks[[#This Row],[_LeafProgress]]&lt;1,OR(N(Tasks[[#This Row],[Finish Var]])&gt;0,Tasks[[#This Row],[Status]]="Late Start")),MAX(0,Tasks[[#This Row],[Finish Var]])+1-Tasks[[#This Row],[_Row]]/1000000,"")</f>
        <v/>
      </c>
      <c r="EO16" s="41" t="str">
        <f aca="false">IF(AND(Tasks[[#This Row],[_IsLeaf]]=1,N(Tasks[[#This Row],[Actual Start]])=0,Tasks[[#This Row],[_ShownFcstStart]]&gt;=StatusDate,Tasks[[#This Row],[_ShownFcstStart]]&lt;=LookaheadEnd),Tasks[[#This Row],[_ShownFcstStart]]+Tasks[[#This Row],[_Row]]/100000,"")</f>
        <v/>
      </c>
      <c r="EP16" s="41" t="str">
        <f aca="false">IF(AND(Tasks[[#This Row],[_IsLeaf]]=1,Tasks[[#This Row],[_LeafProgress]]&lt;1,Tasks[[#This Row],[_ShownFcstFinish]]&gt;=StatusDate,Tasks[[#This Row],[_ShownFcstFinish]]&lt;=LookaheadEnd),Tasks[[#This Row],[_ShownFcstFinish]]+Tasks[[#This Row],[_Row]]/100000,"")</f>
        <v/>
      </c>
      <c r="EQ16" s="41" t="str">
        <f aca="false">IF(Tasks[[#This Row],[_LeafCritical]],Tasks[[#This Row],[_ShownFcstStart]]+Tasks[[#This Row],[_Row]]/100000,"")</f>
        <v/>
      </c>
      <c r="ER16" s="41" t="n">
        <f aca="false">Tasks[[#This Row],[_LeafWork]]*Tasks[[#This Row],[_LeafProgress]]</f>
        <v>0</v>
      </c>
      <c r="ES16" s="101" t="str">
        <f aca="false">IF(AND(Tasks[[#This Row],[_IsLeaf]]=1,Tasks[[#This Row],[_LeafProgress]]&gt;=1),IF(N(Tasks[[#This Row],[Actual Finish]])&gt;0,Tasks[[#This Row],[Actual Finish]],Tasks[[#This Row],[_ShownFcstFinish]]),"")</f>
        <v/>
      </c>
      <c r="ET16" s="41" t="n">
        <f aca="false">IF(Tasks[[#This Row],[_IsLeaf]]=1,N(Tasks[[#This Row],[Story Points]]),0)</f>
        <v>0</v>
      </c>
      <c r="EU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29"/>
      <c r="O17" s="29"/>
      <c r="P17" s="29"/>
      <c r="Q17" s="29"/>
      <c r="R17" s="29"/>
      <c r="S17" s="29"/>
      <c r="T17" s="30"/>
      <c r="U17" s="75"/>
      <c r="V17" s="75"/>
      <c r="W17" s="25" t="str">
        <f aca="false">IF(Tasks[[#This Row],[Task Name]]="","",IF(N(Tasks[[#This Row],[Baseline Start]])&gt;0,Tasks[[#This Row],[Baseline Start]],Tasks[[#This Row],[_CalcStart]]))</f>
        <v/>
      </c>
      <c r="X17" s="25" t="str">
        <f aca="false">IF(Tasks[[#This Row],[Task Name]]="","",IF(N(Tasks[[#This Row],[Baseline Finish]])&gt;0,Tasks[[#This Row],[Baseline Finish]],Tasks[[#This Row],[_CalcFinish]]))</f>
        <v/>
      </c>
      <c r="Y17" s="75"/>
      <c r="Z17" s="75"/>
      <c r="AA17" s="25" t="str">
        <f aca="false">IF(Tasks[[#This Row],[Task Name]]="","",IF(Tasks[[#This Row],[_IsSummary]],MIN(INDEX(Tasks[_ShownFcstStart],Tasks[[#This Row],[_Row]]+1):INDEX(Tasks[_ShownFcstStart],Tasks[[#This Row],[_Row]]+Tasks[[#This Row],[_Descendants]])),Tasks[[#This Row],[_ShownFcstStart]]))</f>
        <v/>
      </c>
      <c r="AB17" s="25" t="str">
        <f aca="false">IF(Tasks[[#This Row],[Task Name]]="","",IF(Tasks[[#This Row],[_IsSummary]],MAX(INDEX(Tasks[_ShownFcstFinish],Tasks[[#This Row],[_Row]]+1):INDEX(Tasks[_ShownFcstFinish],Tasks[[#This Row],[_Row]]+Tasks[[#This Row],[_Descendants]])),Tasks[[#This Row],[_ShownFcstFinish]]))</f>
        <v/>
      </c>
      <c r="AC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 s="25" t="str">
        <f aca="false">IF(Tasks[[#This Row],[Task Name]]="","",IF(Tasks[[#This Row],[_IsSummary]],MIN(INDEX(Tasks[_LeafLateStart],Tasks[[#This Row],[_Row]]+1):INDEX(Tasks[_LeafLateStart],Tasks[[#This Row],[_Row]]+Tasks[[#This Row],[_Descendants]])),Tasks[[#This Row],[_LeafLateStart]]))</f>
        <v/>
      </c>
      <c r="AF17" s="25" t="str">
        <f aca="false">IF(Tasks[[#This Row],[Task Name]]="","",IF(Tasks[[#This Row],[_IsSummary]],MAX(INDEX(Tasks[_LeafLateFinish],Tasks[[#This Row],[_Row]]+1):INDEX(Tasks[_LeafLateFinish],Tasks[[#This Row],[_Row]]+Tasks[[#This Row],[_Descendants]])),Tasks[[#This Row],[_LeafLateFinish]]))</f>
        <v/>
      </c>
      <c r="AG17" s="28" t="str">
        <f aca="false">IF(Tasks[[#This Row],[Task Name]]="","",IF(Tasks[[#This Row],[_IsSummary]],MIN(INDEX(Tasks[_LeafTotalSlack],Tasks[[#This Row],[_Row]]+1):INDEX(Tasks[_LeafTotalSlack],Tasks[[#This Row],[_Row]]+Tasks[[#This Row],[_Descendants]])),Tasks[[#This Row],[_LeafTotalSlack]]))</f>
        <v/>
      </c>
      <c r="AH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 s="28" t="str">
        <f aca="false">IF(Tasks[[#This Row],[Task Name]]="","",IF(IF(Tasks[[#This Row],[_IsSummary]],COUNTIF(INDEX(Tasks[_LeafCritical],Tasks[[#This Row],[_Row]]+1):INDEX(Tasks[_LeafCritical],Tasks[[#This Row],[_Row]]+Tasks[[#This Row],[_Descendants]]),TRUE())&gt;0,Tasks[[#This Row],[_LeafCritical]]),"Yes",""))</f>
        <v/>
      </c>
      <c r="AJ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 s="89"/>
      <c r="AM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 s="28" t="str">
        <f aca="false">IF(Tasks[[#This Row],[Task Name]]="","",IF(Tasks[[#This Row],[Progress]]&gt;=1,"Complete",IF(OR(N(Tasks[[#This Row],[Actual Start]])&gt;0,Tasks[[#This Row],[Progress]]&gt;0),IF(Tasks[[#This Row],[Finish Var]]&gt;0,"Behind","In Progress"),IF(Tasks[[#This Row],[Planned Start]]&lt;StatusDate,"Late Start","Not Started"))))</f>
        <v/>
      </c>
      <c r="AO17" s="30"/>
      <c r="AP17" s="89"/>
      <c r="AQ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 s="96" t="str">
        <f aca="false">IF(Tasks[[#This Row],[Task Name]]="","",IF(Tasks[[#This Row],[_IsSummary]],SUM(INDEX(Tasks[_LeafTotalWork],Tasks[[#This Row],[_Row]]+1):INDEX(Tasks[_LeafTotalWork],Tasks[[#This Row],[_Row]]+Tasks[[#This Row],[_Descendants]])),Tasks[[#This Row],[_LeafTotalWork]]))</f>
        <v/>
      </c>
      <c r="AT17" s="97" t="str">
        <f aca="false">IF(Tasks[[#This Row],[Task Name]]="","",IF(Tasks[[#This Row],[_IsSummary]],SUM(INDEX(Tasks[_LeafTotalCost],Tasks[[#This Row],[_Row]]+1):INDEX(Tasks[_LeafTotalCost],Tasks[[#This Row],[_Row]]+Tasks[[#This Row],[_Descendants]])),Tasks[[#This Row],[_LeafTotalCost]]))</f>
        <v/>
      </c>
      <c r="AU17" s="98"/>
      <c r="AV17" s="29"/>
      <c r="AW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 s="83"/>
      <c r="AY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 s="30"/>
      <c r="BA17" s="25" t="str">
        <f aca="false">IF(Tasks[[#This Row],[Task Name]]="","",Tasks[[#This Row],[Forecast Start]])</f>
        <v/>
      </c>
      <c r="BB17" s="25" t="str">
        <f aca="false">IF(Tasks[[#This Row],[Task Name]]="","",Tasks[[#This Row],[Forecast Finish]])</f>
        <v/>
      </c>
      <c r="BC17" s="28" t="str">
        <f aca="false">IF(Tasks[[#This Row],[Task Name]]="","",IF(Tasks[[#This Row],[_IsSummary]],NETWORKDAYS.INTL(Tasks[[#This Row],[Forecast Start]],Tasks[[#This Row],[Forecast Finish]],WorkWeek,Holidays),N(Tasks[[#This Row],[Duration]])))</f>
        <v/>
      </c>
      <c r="BD17" s="96" t="str">
        <f aca="false">IF(Tasks[[#This Row],[Task Name]]="","",Tasks[[#This Row],[Work]])</f>
        <v/>
      </c>
      <c r="BE17" s="97" t="str">
        <f aca="false">IF(Tasks[[#This Row],[Task Name]]="","",Tasks[[#This Row],[Cost]])</f>
        <v/>
      </c>
      <c r="BF17" s="75"/>
      <c r="BG17" s="75"/>
      <c r="BH17" s="29"/>
      <c r="BI17" s="99"/>
      <c r="BJ17" s="98"/>
      <c r="BK17" s="28" t="str">
        <f aca="false">IF(OR(Tasks[[#This Row],[Task Name]]="",Tasks[[#This Row],[Baseline Duration]]=""),"",Tasks[[#This Row],[BL Source Duration]]-N(Tasks[[#This Row],[Baseline Duration]]))</f>
        <v/>
      </c>
      <c r="BL17" s="96" t="str">
        <f aca="false">IF(OR(Tasks[[#This Row],[Task Name]]="",Tasks[[#This Row],[Baseline Work]]=""),"",Tasks[[#This Row],[Work]]-N(Tasks[[#This Row],[Baseline Work]]))</f>
        <v/>
      </c>
      <c r="BM17" s="97" t="str">
        <f aca="false">IF(OR(Tasks[[#This Row],[Task Name]]="",Tasks[[#This Row],[Baseline Cost]]=""),"",Tasks[[#This Row],[Cost]]-N(Tasks[[#This Row],[Baseline Cost]]))</f>
        <v/>
      </c>
      <c r="BN17" s="97" t="str">
        <f aca="false">IF(Tasks[[#This Row],[Task Name]]="","",IF(Tasks[[#This Row],[_IsSummary]],SUM(INDEX(Tasks[_LeafBudget],Tasks[[#This Row],[_Row]]+1):INDEX(Tasks[_LeafBudget],Tasks[[#This Row],[_Row]]+Tasks[[#This Row],[_Descendants]])),Tasks[[#This Row],[_LeafBudget]]))</f>
        <v/>
      </c>
      <c r="BO17" s="97" t="str">
        <f aca="false">IF(Tasks[[#This Row],[Task Name]]="","",IF(Tasks[[#This Row],[_IsSummary]],SUM(INDEX(Tasks[_LeafPV],Tasks[[#This Row],[_Row]]+1):INDEX(Tasks[_LeafPV],Tasks[[#This Row],[_Row]]+Tasks[[#This Row],[_Descendants]])),Tasks[[#This Row],[_LeafPV]]))</f>
        <v/>
      </c>
      <c r="BP17" s="97" t="str">
        <f aca="false">IF(Tasks[[#This Row],[Task Name]]="","",IF(Tasks[[#This Row],[_IsSummary]],SUM(INDEX(Tasks[_LeafEV],Tasks[[#This Row],[_Row]]+1):INDEX(Tasks[_LeafEV],Tasks[[#This Row],[_Row]]+Tasks[[#This Row],[_Descendants]])),Tasks[[#This Row],[_LeafEV]]))</f>
        <v/>
      </c>
      <c r="BQ17" s="97" t="str">
        <f aca="false">IF(Tasks[[#This Row],[Task Name]]="","",IF(Tasks[[#This Row],[_IsSummary]],SUM(INDEX(Tasks[_LeafAC],Tasks[[#This Row],[_Row]]+1):INDEX(Tasks[_LeafAC],Tasks[[#This Row],[_Row]]+Tasks[[#This Row],[_Descendants]])),Tasks[[#This Row],[_LeafAC]]))</f>
        <v/>
      </c>
      <c r="BR17" s="41" t="str">
        <f aca="false">IF(Tasks[[#This Row],[Task Name]]="","",MAX(1,N(Tasks[[#This Row],[Level]])))</f>
        <v/>
      </c>
      <c r="BS17" s="41" t="n">
        <f aca="false">ROW()-ROW(Tasks[[#Headers],[ID]])</f>
        <v>12</v>
      </c>
      <c r="BT17" s="41" t="n">
        <f aca="false">IF(OR(Tasks[[#This Row],[Task Name]]="",Tasks[[#This Row],[_Level]]&lt;=1),0,IFERROR(LOOKUP(2,1/(Tasks[[#Headers],[_Level]]:Tasks[[#This Row],[_Level]]=Tasks[[#This Row],[_Level]]-1),ROW(Tasks[[#Headers],[_Level]]:Tasks[[#This Row],[_Level]])),0))</f>
        <v>0</v>
      </c>
      <c r="BU17" s="41" t="n">
        <f aca="false">IFERROR(N(INDEX(Tasks[_Level],Tasks[[#This Row],[_Row]]+1)),0)</f>
        <v>0</v>
      </c>
      <c r="BV17" s="100" t="b">
        <f aca="false">AND(Tasks[[#This Row],[Task Name]]&lt;&gt;"",Tasks[[#This Row],[_NextLevel]]&gt;Tasks[[#This Row],[_Level]])</f>
        <v>0</v>
      </c>
      <c r="BW17" s="41" t="n">
        <f aca="false">IF(Tasks[[#This Row],[_IsSummary]],COUNTIF(Tasks[WBS],Tasks[[#This Row],[WBS]]&amp;".*"),0)</f>
        <v>0</v>
      </c>
      <c r="BX17" s="41" t="n">
        <f aca="false">IF(AND(Tasks[[#This Row],[Task Name]]&lt;&gt;"",NOT(Tasks[[#This Row],[_IsSummary]])),1,0)</f>
        <v>0</v>
      </c>
      <c r="BY17" s="41" t="n">
        <f aca="false">IF(N(Tasks[[#This Row],[Pred1 UID]])=0,0,IFERROR(MATCH(Tasks[[#This Row],[Pred1 UID]],Tasks[UID],0),-1))</f>
        <v>0</v>
      </c>
      <c r="BZ17" s="41" t="n">
        <f aca="false">IF(N(Tasks[[#This Row],[Pred2 UID]])=0,0,IFERROR(MATCH(Tasks[[#This Row],[Pred2 UID]],Tasks[UID],0),-1))</f>
        <v>0</v>
      </c>
      <c r="CA17" s="41" t="n">
        <f aca="false">IF(N(Tasks[[#This Row],[Pred3 UID]])=0,0,IFERROR(MATCH(Tasks[[#This Row],[Pred3 UID]],Tasks[UID],0),-1))</f>
        <v>0</v>
      </c>
      <c r="CB17" s="41" t="n">
        <f aca="false">IF(N(Tasks[[#This Row],[Pred4 UID]])=0,0,IFERROR(MATCH(Tasks[[#This Row],[Pred4 UID]],Tasks[UID],0),-1))</f>
        <v>0</v>
      </c>
      <c r="CC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 s="101" t="n">
        <f aca="false">IF(OR(Tasks[[#This Row],[_ConstraintCode]]=2,Tasks[[#This Row],[_ConstraintCode]]=3,Tasks[[#This Row],[_ConstraintCode]]=4,Tasks[[#This Row],[_ConstraintCode]]=6),Tasks[[#This Row],[_ConstraintStart]],0)</f>
        <v>0</v>
      </c>
      <c r="CF17" s="101" t="n">
        <f aca="false">IF(OR(Tasks[[#This Row],[_ConstraintCode]]=2,Tasks[[#This Row],[_ConstraintCode]]=3,Tasks[[#This Row],[_ConstraintCode]]=5,Tasks[[#This Row],[_ConstraintCode]]=7),Tasks[[#This Row],[_ConstraintStart]],2958465)</f>
        <v>2958465</v>
      </c>
      <c r="CG1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 s="101" t="str">
        <f aca="false">IF(NOT(Tasks[[#This Row],[_IsLeaf]]=1),"",IF(N(Tasks[[#This Row],[Duration]])&lt;=0,Tasks[[#This Row],[_LeafCalcStart]],WORKDAY.INTL(Tasks[[#This Row],[_LeafCalcStart]],Tasks[[#This Row],[Duration]]-1,WorkWeek,Holidays)))</f>
        <v/>
      </c>
      <c r="CI1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 s="41" t="n">
        <f aca="false">IF(NOT(Tasks[[#This Row],[_IsLeaf]]=1),0,IF(N(Tasks[[#This Row],[Actual Finish]])&gt;0,1,MIN(1,N(Tasks[[#This Row],[% Complete]]))))</f>
        <v>0</v>
      </c>
      <c r="CL17" s="41" t="n">
        <f aca="false">IF(OR(NOT(Tasks[[#This Row],[_IsLeaf]]=1),Tasks[[#This Row],[Resource]]=""),0,N(Tasks[[#This Row],[Duration]])*HoursPerDay*IF(Tasks[[#This Row],[Units]]="",DefaultUnits,Tasks[[#This Row],[Units]]))</f>
        <v>0</v>
      </c>
      <c r="CM17" s="41" t="n">
        <f aca="false">IF(Tasks[[#This Row],[_LeafWork]]=0,0,Tasks[[#This Row],[_LeafWork]]*IFERROR(INDEX(res_Rate,MATCH(Tasks[[#This Row],[Resource]],res_Name,0)),0))</f>
        <v>0</v>
      </c>
      <c r="CN17" s="41" t="n">
        <f aca="false">Tasks[[#This Row],[_LeafWork]]+IF(Tasks[[#This Row],[_IsLeaf]]=1,SUMIFS(asg_Work,asg_TaskUID,Tasks[[#This Row],[UID]],asg_Valid,1),0)</f>
        <v>0</v>
      </c>
      <c r="CO17" s="41" t="n">
        <f aca="false">Tasks[[#This Row],[_LeafCost]]+IF(Tasks[[#This Row],[_IsLeaf]]=1,SUMIFS(asg_Cost,asg_TaskUID,Tasks[[#This Row],[UID]],asg_Valid,1),0)</f>
        <v>0</v>
      </c>
      <c r="CP17" s="41" t="n">
        <f aca="false">IF(Tasks[[#This Row],[_LeafTotalCost]]=0,Tasks[[#This Row],[_LeafAC]],Tasks[[#This Row],[_LeafAC]]*Tasks[[#This Row],[_LeafCost]]/Tasks[[#This Row],[_LeafTotalCost]])</f>
        <v>0</v>
      </c>
      <c r="CQ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 s="41" t="n">
        <f aca="false">IF(NOT(Tasks[[#This Row],[_IsLeaf]]=1),0,MAX(_xlfn.MAXIFS(Tasks[_Row],Tasks[Pred1 UID],Tasks[[#This Row],[UID]]),_xlfn.MAXIFS(Tasks[_Row],Tasks[Pred2 UID],Tasks[[#This Row],[UID]]),_xlfn.MAXIFS(Tasks[_Row],Tasks[Pred3 UID],Tasks[[#This Row],[UID]]),_xlfn.MAXIFS(Tasks[_Row],Tasks[Pred4 UID],Tasks[[#This Row],[UID]])))</f>
        <v>0</v>
      </c>
      <c r="CZ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 s="101" t="str">
        <f aca="false">IF(NOT(Tasks[[#This Row],[_IsLeaf]]=1),"",IF(N(Tasks[[#This Row],[Duration]])&lt;=0,Tasks[[#This Row],[_LeafLateFinish]],WORKDAY.INTL(Tasks[[#This Row],[_LeafLateFinish]],-(Tasks[[#This Row],[Duration]]-1),WorkWeek,Holidays)))</f>
        <v/>
      </c>
      <c r="DC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 s="100" t="b">
        <f aca="false">AND(Tasks[[#This Row],[_IsLeaf]]=1,Tasks[[#This Row],[_LeafProgress]]&lt;1,N(Tasks[[#This Row],[_LeafTotalSlack]])&lt;=CriticalSlackDays)</f>
        <v>0</v>
      </c>
      <c r="DE17" s="41" t="n">
        <f aca="false">IF(AND(Tasks[[#This Row],[_IsLeaf]]=1,Tasks[[#This Row],[_ConstraintCode]]=1,Tasks[[#This Row],[Mode]]&lt;&gt;"Manual",N(Tasks[[#This Row],[Actual Start]])=0),MAX(0,N(Tasks[[#This Row],[Free Slack]])),0)</f>
        <v>0</v>
      </c>
      <c r="DF17" s="101" t="str">
        <f aca="false">IF(NOT(Tasks[[#This Row],[_IsLeaf]]=1),"",IF(Tasks[[#This Row],[_AlapShift]]=0,Tasks[[#This Row],[_LeafCalcStart]],WORKDAY.INTL(Tasks[[#This Row],[_LeafCalcStart]],Tasks[[#This Row],[_AlapShift]],WorkWeek,Holidays)))</f>
        <v/>
      </c>
      <c r="DG17" s="101" t="str">
        <f aca="false">IF(NOT(Tasks[[#This Row],[_IsLeaf]]=1),"",IF(Tasks[[#This Row],[_AlapShift]]=0,Tasks[[#This Row],[_LeafCalcFinish]],WORKDAY.INTL(Tasks[[#This Row],[_LeafCalcFinish]],Tasks[[#This Row],[_AlapShift]],WorkWeek,Holidays)))</f>
        <v/>
      </c>
      <c r="DH17" s="101" t="str">
        <f aca="false">IF(NOT(Tasks[[#This Row],[_IsLeaf]]=1),"",IF(Tasks[[#This Row],[_AlapShift]]=0,Tasks[[#This Row],[_LeafFcstStart]],WORKDAY.INTL(Tasks[[#This Row],[_LeafFcstStart]],Tasks[[#This Row],[_AlapShift]],WorkWeek,Holidays)))</f>
        <v/>
      </c>
      <c r="DI17" s="101" t="str">
        <f aca="false">IF(NOT(Tasks[[#This Row],[_IsLeaf]]=1),"",IF(Tasks[[#This Row],[_AlapShift]]=0,Tasks[[#This Row],[_LeafFcstFinish]],WORKDAY.INTL(Tasks[[#This Row],[_LeafFcstFinish]],Tasks[[#This Row],[_AlapShift]],WorkWeek,Holidays)))</f>
        <v/>
      </c>
      <c r="DJ17" s="101" t="str">
        <f aca="false">IF(Tasks[[#This Row],[Task Name]]="","",IF(Tasks[[#This Row],[_IsSummary]],MIN(INDEX(Tasks[_ShownCalcStart],Tasks[[#This Row],[_Row]]+1):INDEX(Tasks[_ShownCalcStart],Tasks[[#This Row],[_Row]]+Tasks[[#This Row],[_Descendants]])),Tasks[[#This Row],[_ShownCalcStart]]))</f>
        <v/>
      </c>
      <c r="DK17" s="101" t="str">
        <f aca="false">IF(Tasks[[#This Row],[Task Name]]="","",IF(Tasks[[#This Row],[_IsSummary]],MAX(INDEX(Tasks[_ShownCalcFinish],Tasks[[#This Row],[_Row]]+1):INDEX(Tasks[_ShownCalcFinish],Tasks[[#This Row],[_Row]]+Tasks[[#This Row],[_Descendants]])),Tasks[[#This Row],[_ShownCalcFinish]]))</f>
        <v/>
      </c>
      <c r="D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 s="41" t="n">
        <f aca="false">IF(AND(Tasks[[#This Row],[_IsLeaf]]=1,Tasks[[#This Row],[_LeafTotalWork]]&gt;0),NETWORKDAYS.INTL(ProjectStart,Tasks[[#This Row],[_ShownFcstStart]],WorkWeek,Holidays),0)</f>
        <v>0</v>
      </c>
      <c r="DY17" s="41" t="n">
        <f aca="false">IF(AND(Tasks[[#This Row],[_IsLeaf]]=1,Tasks[[#This Row],[_LeafTotalWork]]&gt;0),MAX(Tasks[[#This Row],[_StartWorkday]],NETWORKDAYS.INTL(ProjectStart,Tasks[[#This Row],[_ShownFcstFinish]],WorkWeek,Holidays)),0)</f>
        <v>0</v>
      </c>
      <c r="DZ17" s="41" t="n">
        <f aca="false">IF(AND(Tasks[[#This Row],[_IsLeaf]]=1,Tasks[[#This Row],[_LeafTotalWork]]&gt;0),Tasks[[#This Row],[_LeafWork]]/(Tasks[[#This Row],[_FinishWorkday]]-Tasks[[#This Row],[_StartWorkday]]+1),0)</f>
        <v>0</v>
      </c>
      <c r="EA17" s="41" t="n">
        <f aca="false">Tasks[[#This Row],[_WorkPerWorkday]]*(Tasks[[#This Row],[_StartWorkday]]-1)</f>
        <v>-0</v>
      </c>
      <c r="EB17" s="41" t="n">
        <f aca="false">IF(Tasks[[#This Row],[_IsLeaf]]=1,MAX(N(Tasks[[#This Row],[Duration]]),0.1),0)</f>
        <v>0</v>
      </c>
      <c r="EC17" s="41" t="n">
        <f aca="false">Tasks[[#This Row],[_WeightDur]]*Tasks[[#This Row],[_LeafProgress]]</f>
        <v>0</v>
      </c>
      <c r="ED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 s="41" t="str">
        <f aca="false">IF(AND(Tasks[[#This Row],[_IsLeaf]]=1,N(Tasks[[#This Row],[Duration]])=0,Tasks[[#This Row],[_LeafProgress]]&lt;1),Tasks[[#This Row],[_ShownFcstFinish]]+Tasks[[#This Row],[_Row]]/100000,"")</f>
        <v/>
      </c>
      <c r="EF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 s="41" t="n">
        <f aca="false">IF(NOT(Tasks[[#This Row],[_IsLeaf]]=1),0,IF(Tasks[[#This Row],[Baseline Cost]]="",Tasks[[#This Row],[_LeafTotalCost]],N(Tasks[[#This Row],[Baseline Cost]])))</f>
        <v>0</v>
      </c>
      <c r="EH17" s="41" t="n">
        <f aca="false">Tasks[[#This Row],[_LeafBudget]]*Tasks[[#This Row],[_PlannedPct]]</f>
        <v>0</v>
      </c>
      <c r="EI17" s="41" t="n">
        <f aca="false">Tasks[[#This Row],[_LeafBudget]]*Tasks[[#This Row],[_LeafProgress]]</f>
        <v>0</v>
      </c>
      <c r="EJ17" s="41" t="n">
        <f aca="false">IF(NOT(Tasks[[#This Row],[_IsLeaf]]=1),0,IF(Tasks[[#This Row],[Actual Cost]]="",Tasks[[#This Row],[_LeafTotalCost]]*Tasks[[#This Row],[_LeafProgress]],N(Tasks[[#This Row],[Actual Cost]])))</f>
        <v>0</v>
      </c>
      <c r="EK17" s="41" t="str">
        <f aca="false">IF(Tasks[[#This Row],[Task Name]]="","",LEFT(Tasks[[#This Row],[WBS]],FIND(".",Tasks[[#This Row],[WBS]]&amp;".")-1))</f>
        <v/>
      </c>
      <c r="EL17" s="41" t="str">
        <f aca="false">IF(AND(Tasks[[#This Row],[Task Name]]&lt;&gt;"",Tasks[[#This Row],[_Level]]=1),Tasks[[#This Row],[_Row]],"")</f>
        <v/>
      </c>
      <c r="EM17" s="41" t="str">
        <f aca="false">IF(AND(Tasks[[#This Row],[_IsLeaf]]=1,N(Tasks[[#This Row],[Duration]])=0),Tasks[[#This Row],[Planned Finish]]+Tasks[[#This Row],[_Row]]/100000,"")</f>
        <v/>
      </c>
      <c r="EN17" s="41" t="str">
        <f aca="false">IF(AND(Tasks[[#This Row],[_IsLeaf]]=1,Tasks[[#This Row],[_LeafProgress]]&lt;1,OR(N(Tasks[[#This Row],[Finish Var]])&gt;0,Tasks[[#This Row],[Status]]="Late Start")),MAX(0,Tasks[[#This Row],[Finish Var]])+1-Tasks[[#This Row],[_Row]]/1000000,"")</f>
        <v/>
      </c>
      <c r="EO17" s="41" t="str">
        <f aca="false">IF(AND(Tasks[[#This Row],[_IsLeaf]]=1,N(Tasks[[#This Row],[Actual Start]])=0,Tasks[[#This Row],[_ShownFcstStart]]&gt;=StatusDate,Tasks[[#This Row],[_ShownFcstStart]]&lt;=LookaheadEnd),Tasks[[#This Row],[_ShownFcstStart]]+Tasks[[#This Row],[_Row]]/100000,"")</f>
        <v/>
      </c>
      <c r="EP17" s="41" t="str">
        <f aca="false">IF(AND(Tasks[[#This Row],[_IsLeaf]]=1,Tasks[[#This Row],[_LeafProgress]]&lt;1,Tasks[[#This Row],[_ShownFcstFinish]]&gt;=StatusDate,Tasks[[#This Row],[_ShownFcstFinish]]&lt;=LookaheadEnd),Tasks[[#This Row],[_ShownFcstFinish]]+Tasks[[#This Row],[_Row]]/100000,"")</f>
        <v/>
      </c>
      <c r="EQ17" s="41" t="str">
        <f aca="false">IF(Tasks[[#This Row],[_LeafCritical]],Tasks[[#This Row],[_ShownFcstStart]]+Tasks[[#This Row],[_Row]]/100000,"")</f>
        <v/>
      </c>
      <c r="ER17" s="41" t="n">
        <f aca="false">Tasks[[#This Row],[_LeafWork]]*Tasks[[#This Row],[_LeafProgress]]</f>
        <v>0</v>
      </c>
      <c r="ES17" s="101" t="str">
        <f aca="false">IF(AND(Tasks[[#This Row],[_IsLeaf]]=1,Tasks[[#This Row],[_LeafProgress]]&gt;=1),IF(N(Tasks[[#This Row],[Actual Finish]])&gt;0,Tasks[[#This Row],[Actual Finish]],Tasks[[#This Row],[_ShownFcstFinish]]),"")</f>
        <v/>
      </c>
      <c r="ET17" s="41" t="n">
        <f aca="false">IF(Tasks[[#This Row],[_IsLeaf]]=1,N(Tasks[[#This Row],[Story Points]]),0)</f>
        <v>0</v>
      </c>
      <c r="EU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29"/>
      <c r="O18" s="29"/>
      <c r="P18" s="29"/>
      <c r="Q18" s="29"/>
      <c r="R18" s="29"/>
      <c r="S18" s="29"/>
      <c r="T18" s="30"/>
      <c r="U18" s="75"/>
      <c r="V18" s="75"/>
      <c r="W18" s="25" t="str">
        <f aca="false">IF(Tasks[[#This Row],[Task Name]]="","",IF(N(Tasks[[#This Row],[Baseline Start]])&gt;0,Tasks[[#This Row],[Baseline Start]],Tasks[[#This Row],[_CalcStart]]))</f>
        <v/>
      </c>
      <c r="X18" s="25" t="str">
        <f aca="false">IF(Tasks[[#This Row],[Task Name]]="","",IF(N(Tasks[[#This Row],[Baseline Finish]])&gt;0,Tasks[[#This Row],[Baseline Finish]],Tasks[[#This Row],[_CalcFinish]]))</f>
        <v/>
      </c>
      <c r="Y18" s="75"/>
      <c r="Z18" s="75"/>
      <c r="AA18" s="25" t="str">
        <f aca="false">IF(Tasks[[#This Row],[Task Name]]="","",IF(Tasks[[#This Row],[_IsSummary]],MIN(INDEX(Tasks[_ShownFcstStart],Tasks[[#This Row],[_Row]]+1):INDEX(Tasks[_ShownFcstStart],Tasks[[#This Row],[_Row]]+Tasks[[#This Row],[_Descendants]])),Tasks[[#This Row],[_ShownFcstStart]]))</f>
        <v/>
      </c>
      <c r="AB18" s="25" t="str">
        <f aca="false">IF(Tasks[[#This Row],[Task Name]]="","",IF(Tasks[[#This Row],[_IsSummary]],MAX(INDEX(Tasks[_ShownFcstFinish],Tasks[[#This Row],[_Row]]+1):INDEX(Tasks[_ShownFcstFinish],Tasks[[#This Row],[_Row]]+Tasks[[#This Row],[_Descendants]])),Tasks[[#This Row],[_ShownFcstFinish]]))</f>
        <v/>
      </c>
      <c r="AC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 s="25" t="str">
        <f aca="false">IF(Tasks[[#This Row],[Task Name]]="","",IF(Tasks[[#This Row],[_IsSummary]],MIN(INDEX(Tasks[_LeafLateStart],Tasks[[#This Row],[_Row]]+1):INDEX(Tasks[_LeafLateStart],Tasks[[#This Row],[_Row]]+Tasks[[#This Row],[_Descendants]])),Tasks[[#This Row],[_LeafLateStart]]))</f>
        <v/>
      </c>
      <c r="AF18" s="25" t="str">
        <f aca="false">IF(Tasks[[#This Row],[Task Name]]="","",IF(Tasks[[#This Row],[_IsSummary]],MAX(INDEX(Tasks[_LeafLateFinish],Tasks[[#This Row],[_Row]]+1):INDEX(Tasks[_LeafLateFinish],Tasks[[#This Row],[_Row]]+Tasks[[#This Row],[_Descendants]])),Tasks[[#This Row],[_LeafLateFinish]]))</f>
        <v/>
      </c>
      <c r="AG18" s="28" t="str">
        <f aca="false">IF(Tasks[[#This Row],[Task Name]]="","",IF(Tasks[[#This Row],[_IsSummary]],MIN(INDEX(Tasks[_LeafTotalSlack],Tasks[[#This Row],[_Row]]+1):INDEX(Tasks[_LeafTotalSlack],Tasks[[#This Row],[_Row]]+Tasks[[#This Row],[_Descendants]])),Tasks[[#This Row],[_LeafTotalSlack]]))</f>
        <v/>
      </c>
      <c r="AH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 s="28" t="str">
        <f aca="false">IF(Tasks[[#This Row],[Task Name]]="","",IF(IF(Tasks[[#This Row],[_IsSummary]],COUNTIF(INDEX(Tasks[_LeafCritical],Tasks[[#This Row],[_Row]]+1):INDEX(Tasks[_LeafCritical],Tasks[[#This Row],[_Row]]+Tasks[[#This Row],[_Descendants]]),TRUE())&gt;0,Tasks[[#This Row],[_LeafCritical]]),"Yes",""))</f>
        <v/>
      </c>
      <c r="AJ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 s="89"/>
      <c r="AM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 s="28" t="str">
        <f aca="false">IF(Tasks[[#This Row],[Task Name]]="","",IF(Tasks[[#This Row],[Progress]]&gt;=1,"Complete",IF(OR(N(Tasks[[#This Row],[Actual Start]])&gt;0,Tasks[[#This Row],[Progress]]&gt;0),IF(Tasks[[#This Row],[Finish Var]]&gt;0,"Behind","In Progress"),IF(Tasks[[#This Row],[Planned Start]]&lt;StatusDate,"Late Start","Not Started"))))</f>
        <v/>
      </c>
      <c r="AO18" s="30"/>
      <c r="AP18" s="89"/>
      <c r="AQ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 s="96" t="str">
        <f aca="false">IF(Tasks[[#This Row],[Task Name]]="","",IF(Tasks[[#This Row],[_IsSummary]],SUM(INDEX(Tasks[_LeafTotalWork],Tasks[[#This Row],[_Row]]+1):INDEX(Tasks[_LeafTotalWork],Tasks[[#This Row],[_Row]]+Tasks[[#This Row],[_Descendants]])),Tasks[[#This Row],[_LeafTotalWork]]))</f>
        <v/>
      </c>
      <c r="AT18" s="97" t="str">
        <f aca="false">IF(Tasks[[#This Row],[Task Name]]="","",IF(Tasks[[#This Row],[_IsSummary]],SUM(INDEX(Tasks[_LeafTotalCost],Tasks[[#This Row],[_Row]]+1):INDEX(Tasks[_LeafTotalCost],Tasks[[#This Row],[_Row]]+Tasks[[#This Row],[_Descendants]])),Tasks[[#This Row],[_LeafTotalCost]]))</f>
        <v/>
      </c>
      <c r="AU18" s="98"/>
      <c r="AV18" s="29"/>
      <c r="AW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 s="83"/>
      <c r="AY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 s="30"/>
      <c r="BA18" s="25" t="str">
        <f aca="false">IF(Tasks[[#This Row],[Task Name]]="","",Tasks[[#This Row],[Forecast Start]])</f>
        <v/>
      </c>
      <c r="BB18" s="25" t="str">
        <f aca="false">IF(Tasks[[#This Row],[Task Name]]="","",Tasks[[#This Row],[Forecast Finish]])</f>
        <v/>
      </c>
      <c r="BC18" s="28" t="str">
        <f aca="false">IF(Tasks[[#This Row],[Task Name]]="","",IF(Tasks[[#This Row],[_IsSummary]],NETWORKDAYS.INTL(Tasks[[#This Row],[Forecast Start]],Tasks[[#This Row],[Forecast Finish]],WorkWeek,Holidays),N(Tasks[[#This Row],[Duration]])))</f>
        <v/>
      </c>
      <c r="BD18" s="96" t="str">
        <f aca="false">IF(Tasks[[#This Row],[Task Name]]="","",Tasks[[#This Row],[Work]])</f>
        <v/>
      </c>
      <c r="BE18" s="97" t="str">
        <f aca="false">IF(Tasks[[#This Row],[Task Name]]="","",Tasks[[#This Row],[Cost]])</f>
        <v/>
      </c>
      <c r="BF18" s="75"/>
      <c r="BG18" s="75"/>
      <c r="BH18" s="29"/>
      <c r="BI18" s="99"/>
      <c r="BJ18" s="98"/>
      <c r="BK18" s="28" t="str">
        <f aca="false">IF(OR(Tasks[[#This Row],[Task Name]]="",Tasks[[#This Row],[Baseline Duration]]=""),"",Tasks[[#This Row],[BL Source Duration]]-N(Tasks[[#This Row],[Baseline Duration]]))</f>
        <v/>
      </c>
      <c r="BL18" s="96" t="str">
        <f aca="false">IF(OR(Tasks[[#This Row],[Task Name]]="",Tasks[[#This Row],[Baseline Work]]=""),"",Tasks[[#This Row],[Work]]-N(Tasks[[#This Row],[Baseline Work]]))</f>
        <v/>
      </c>
      <c r="BM18" s="97" t="str">
        <f aca="false">IF(OR(Tasks[[#This Row],[Task Name]]="",Tasks[[#This Row],[Baseline Cost]]=""),"",Tasks[[#This Row],[Cost]]-N(Tasks[[#This Row],[Baseline Cost]]))</f>
        <v/>
      </c>
      <c r="BN18" s="97" t="str">
        <f aca="false">IF(Tasks[[#This Row],[Task Name]]="","",IF(Tasks[[#This Row],[_IsSummary]],SUM(INDEX(Tasks[_LeafBudget],Tasks[[#This Row],[_Row]]+1):INDEX(Tasks[_LeafBudget],Tasks[[#This Row],[_Row]]+Tasks[[#This Row],[_Descendants]])),Tasks[[#This Row],[_LeafBudget]]))</f>
        <v/>
      </c>
      <c r="BO18" s="97" t="str">
        <f aca="false">IF(Tasks[[#This Row],[Task Name]]="","",IF(Tasks[[#This Row],[_IsSummary]],SUM(INDEX(Tasks[_LeafPV],Tasks[[#This Row],[_Row]]+1):INDEX(Tasks[_LeafPV],Tasks[[#This Row],[_Row]]+Tasks[[#This Row],[_Descendants]])),Tasks[[#This Row],[_LeafPV]]))</f>
        <v/>
      </c>
      <c r="BP18" s="97" t="str">
        <f aca="false">IF(Tasks[[#This Row],[Task Name]]="","",IF(Tasks[[#This Row],[_IsSummary]],SUM(INDEX(Tasks[_LeafEV],Tasks[[#This Row],[_Row]]+1):INDEX(Tasks[_LeafEV],Tasks[[#This Row],[_Row]]+Tasks[[#This Row],[_Descendants]])),Tasks[[#This Row],[_LeafEV]]))</f>
        <v/>
      </c>
      <c r="BQ18" s="97" t="str">
        <f aca="false">IF(Tasks[[#This Row],[Task Name]]="","",IF(Tasks[[#This Row],[_IsSummary]],SUM(INDEX(Tasks[_LeafAC],Tasks[[#This Row],[_Row]]+1):INDEX(Tasks[_LeafAC],Tasks[[#This Row],[_Row]]+Tasks[[#This Row],[_Descendants]])),Tasks[[#This Row],[_LeafAC]]))</f>
        <v/>
      </c>
      <c r="BR18" s="41" t="str">
        <f aca="false">IF(Tasks[[#This Row],[Task Name]]="","",MAX(1,N(Tasks[[#This Row],[Level]])))</f>
        <v/>
      </c>
      <c r="BS18" s="41" t="n">
        <f aca="false">ROW()-ROW(Tasks[[#Headers],[ID]])</f>
        <v>13</v>
      </c>
      <c r="BT18" s="41" t="n">
        <f aca="false">IF(OR(Tasks[[#This Row],[Task Name]]="",Tasks[[#This Row],[_Level]]&lt;=1),0,IFERROR(LOOKUP(2,1/(Tasks[[#Headers],[_Level]]:Tasks[[#This Row],[_Level]]=Tasks[[#This Row],[_Level]]-1),ROW(Tasks[[#Headers],[_Level]]:Tasks[[#This Row],[_Level]])),0))</f>
        <v>0</v>
      </c>
      <c r="BU18" s="41" t="n">
        <f aca="false">IFERROR(N(INDEX(Tasks[_Level],Tasks[[#This Row],[_Row]]+1)),0)</f>
        <v>0</v>
      </c>
      <c r="BV18" s="100" t="b">
        <f aca="false">AND(Tasks[[#This Row],[Task Name]]&lt;&gt;"",Tasks[[#This Row],[_NextLevel]]&gt;Tasks[[#This Row],[_Level]])</f>
        <v>0</v>
      </c>
      <c r="BW18" s="41" t="n">
        <f aca="false">IF(Tasks[[#This Row],[_IsSummary]],COUNTIF(Tasks[WBS],Tasks[[#This Row],[WBS]]&amp;".*"),0)</f>
        <v>0</v>
      </c>
      <c r="BX18" s="41" t="n">
        <f aca="false">IF(AND(Tasks[[#This Row],[Task Name]]&lt;&gt;"",NOT(Tasks[[#This Row],[_IsSummary]])),1,0)</f>
        <v>0</v>
      </c>
      <c r="BY18" s="41" t="n">
        <f aca="false">IF(N(Tasks[[#This Row],[Pred1 UID]])=0,0,IFERROR(MATCH(Tasks[[#This Row],[Pred1 UID]],Tasks[UID],0),-1))</f>
        <v>0</v>
      </c>
      <c r="BZ18" s="41" t="n">
        <f aca="false">IF(N(Tasks[[#This Row],[Pred2 UID]])=0,0,IFERROR(MATCH(Tasks[[#This Row],[Pred2 UID]],Tasks[UID],0),-1))</f>
        <v>0</v>
      </c>
      <c r="CA18" s="41" t="n">
        <f aca="false">IF(N(Tasks[[#This Row],[Pred3 UID]])=0,0,IFERROR(MATCH(Tasks[[#This Row],[Pred3 UID]],Tasks[UID],0),-1))</f>
        <v>0</v>
      </c>
      <c r="CB18" s="41" t="n">
        <f aca="false">IF(N(Tasks[[#This Row],[Pred4 UID]])=0,0,IFERROR(MATCH(Tasks[[#This Row],[Pred4 UID]],Tasks[UID],0),-1))</f>
        <v>0</v>
      </c>
      <c r="CC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 s="101" t="n">
        <f aca="false">IF(OR(Tasks[[#This Row],[_ConstraintCode]]=2,Tasks[[#This Row],[_ConstraintCode]]=3,Tasks[[#This Row],[_ConstraintCode]]=4,Tasks[[#This Row],[_ConstraintCode]]=6),Tasks[[#This Row],[_ConstraintStart]],0)</f>
        <v>0</v>
      </c>
      <c r="CF18" s="101" t="n">
        <f aca="false">IF(OR(Tasks[[#This Row],[_ConstraintCode]]=2,Tasks[[#This Row],[_ConstraintCode]]=3,Tasks[[#This Row],[_ConstraintCode]]=5,Tasks[[#This Row],[_ConstraintCode]]=7),Tasks[[#This Row],[_ConstraintStart]],2958465)</f>
        <v>2958465</v>
      </c>
      <c r="CG1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 s="101" t="str">
        <f aca="false">IF(NOT(Tasks[[#This Row],[_IsLeaf]]=1),"",IF(N(Tasks[[#This Row],[Duration]])&lt;=0,Tasks[[#This Row],[_LeafCalcStart]],WORKDAY.INTL(Tasks[[#This Row],[_LeafCalcStart]],Tasks[[#This Row],[Duration]]-1,WorkWeek,Holidays)))</f>
        <v/>
      </c>
      <c r="CI1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 s="41" t="n">
        <f aca="false">IF(NOT(Tasks[[#This Row],[_IsLeaf]]=1),0,IF(N(Tasks[[#This Row],[Actual Finish]])&gt;0,1,MIN(1,N(Tasks[[#This Row],[% Complete]]))))</f>
        <v>0</v>
      </c>
      <c r="CL18" s="41" t="n">
        <f aca="false">IF(OR(NOT(Tasks[[#This Row],[_IsLeaf]]=1),Tasks[[#This Row],[Resource]]=""),0,N(Tasks[[#This Row],[Duration]])*HoursPerDay*IF(Tasks[[#This Row],[Units]]="",DefaultUnits,Tasks[[#This Row],[Units]]))</f>
        <v>0</v>
      </c>
      <c r="CM18" s="41" t="n">
        <f aca="false">IF(Tasks[[#This Row],[_LeafWork]]=0,0,Tasks[[#This Row],[_LeafWork]]*IFERROR(INDEX(res_Rate,MATCH(Tasks[[#This Row],[Resource]],res_Name,0)),0))</f>
        <v>0</v>
      </c>
      <c r="CN18" s="41" t="n">
        <f aca="false">Tasks[[#This Row],[_LeafWork]]+IF(Tasks[[#This Row],[_IsLeaf]]=1,SUMIFS(asg_Work,asg_TaskUID,Tasks[[#This Row],[UID]],asg_Valid,1),0)</f>
        <v>0</v>
      </c>
      <c r="CO18" s="41" t="n">
        <f aca="false">Tasks[[#This Row],[_LeafCost]]+IF(Tasks[[#This Row],[_IsLeaf]]=1,SUMIFS(asg_Cost,asg_TaskUID,Tasks[[#This Row],[UID]],asg_Valid,1),0)</f>
        <v>0</v>
      </c>
      <c r="CP18" s="41" t="n">
        <f aca="false">IF(Tasks[[#This Row],[_LeafTotalCost]]=0,Tasks[[#This Row],[_LeafAC]],Tasks[[#This Row],[_LeafAC]]*Tasks[[#This Row],[_LeafCost]]/Tasks[[#This Row],[_LeafTotalCost]])</f>
        <v>0</v>
      </c>
      <c r="CQ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 s="41" t="n">
        <f aca="false">IF(NOT(Tasks[[#This Row],[_IsLeaf]]=1),0,MAX(_xlfn.MAXIFS(Tasks[_Row],Tasks[Pred1 UID],Tasks[[#This Row],[UID]]),_xlfn.MAXIFS(Tasks[_Row],Tasks[Pred2 UID],Tasks[[#This Row],[UID]]),_xlfn.MAXIFS(Tasks[_Row],Tasks[Pred3 UID],Tasks[[#This Row],[UID]]),_xlfn.MAXIFS(Tasks[_Row],Tasks[Pred4 UID],Tasks[[#This Row],[UID]])))</f>
        <v>0</v>
      </c>
      <c r="CZ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 s="101" t="str">
        <f aca="false">IF(NOT(Tasks[[#This Row],[_IsLeaf]]=1),"",IF(N(Tasks[[#This Row],[Duration]])&lt;=0,Tasks[[#This Row],[_LeafLateFinish]],WORKDAY.INTL(Tasks[[#This Row],[_LeafLateFinish]],-(Tasks[[#This Row],[Duration]]-1),WorkWeek,Holidays)))</f>
        <v/>
      </c>
      <c r="DC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 s="100" t="b">
        <f aca="false">AND(Tasks[[#This Row],[_IsLeaf]]=1,Tasks[[#This Row],[_LeafProgress]]&lt;1,N(Tasks[[#This Row],[_LeafTotalSlack]])&lt;=CriticalSlackDays)</f>
        <v>0</v>
      </c>
      <c r="DE18" s="41" t="n">
        <f aca="false">IF(AND(Tasks[[#This Row],[_IsLeaf]]=1,Tasks[[#This Row],[_ConstraintCode]]=1,Tasks[[#This Row],[Mode]]&lt;&gt;"Manual",N(Tasks[[#This Row],[Actual Start]])=0),MAX(0,N(Tasks[[#This Row],[Free Slack]])),0)</f>
        <v>0</v>
      </c>
      <c r="DF18" s="101" t="str">
        <f aca="false">IF(NOT(Tasks[[#This Row],[_IsLeaf]]=1),"",IF(Tasks[[#This Row],[_AlapShift]]=0,Tasks[[#This Row],[_LeafCalcStart]],WORKDAY.INTL(Tasks[[#This Row],[_LeafCalcStart]],Tasks[[#This Row],[_AlapShift]],WorkWeek,Holidays)))</f>
        <v/>
      </c>
      <c r="DG18" s="101" t="str">
        <f aca="false">IF(NOT(Tasks[[#This Row],[_IsLeaf]]=1),"",IF(Tasks[[#This Row],[_AlapShift]]=0,Tasks[[#This Row],[_LeafCalcFinish]],WORKDAY.INTL(Tasks[[#This Row],[_LeafCalcFinish]],Tasks[[#This Row],[_AlapShift]],WorkWeek,Holidays)))</f>
        <v/>
      </c>
      <c r="DH18" s="101" t="str">
        <f aca="false">IF(NOT(Tasks[[#This Row],[_IsLeaf]]=1),"",IF(Tasks[[#This Row],[_AlapShift]]=0,Tasks[[#This Row],[_LeafFcstStart]],WORKDAY.INTL(Tasks[[#This Row],[_LeafFcstStart]],Tasks[[#This Row],[_AlapShift]],WorkWeek,Holidays)))</f>
        <v/>
      </c>
      <c r="DI18" s="101" t="str">
        <f aca="false">IF(NOT(Tasks[[#This Row],[_IsLeaf]]=1),"",IF(Tasks[[#This Row],[_AlapShift]]=0,Tasks[[#This Row],[_LeafFcstFinish]],WORKDAY.INTL(Tasks[[#This Row],[_LeafFcstFinish]],Tasks[[#This Row],[_AlapShift]],WorkWeek,Holidays)))</f>
        <v/>
      </c>
      <c r="DJ18" s="101" t="str">
        <f aca="false">IF(Tasks[[#This Row],[Task Name]]="","",IF(Tasks[[#This Row],[_IsSummary]],MIN(INDEX(Tasks[_ShownCalcStart],Tasks[[#This Row],[_Row]]+1):INDEX(Tasks[_ShownCalcStart],Tasks[[#This Row],[_Row]]+Tasks[[#This Row],[_Descendants]])),Tasks[[#This Row],[_ShownCalcStart]]))</f>
        <v/>
      </c>
      <c r="DK18" s="101" t="str">
        <f aca="false">IF(Tasks[[#This Row],[Task Name]]="","",IF(Tasks[[#This Row],[_IsSummary]],MAX(INDEX(Tasks[_ShownCalcFinish],Tasks[[#This Row],[_Row]]+1):INDEX(Tasks[_ShownCalcFinish],Tasks[[#This Row],[_Row]]+Tasks[[#This Row],[_Descendants]])),Tasks[[#This Row],[_ShownCalcFinish]]))</f>
        <v/>
      </c>
      <c r="D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 s="41" t="n">
        <f aca="false">IF(AND(Tasks[[#This Row],[_IsLeaf]]=1,Tasks[[#This Row],[_LeafTotalWork]]&gt;0),NETWORKDAYS.INTL(ProjectStart,Tasks[[#This Row],[_ShownFcstStart]],WorkWeek,Holidays),0)</f>
        <v>0</v>
      </c>
      <c r="DY18" s="41" t="n">
        <f aca="false">IF(AND(Tasks[[#This Row],[_IsLeaf]]=1,Tasks[[#This Row],[_LeafTotalWork]]&gt;0),MAX(Tasks[[#This Row],[_StartWorkday]],NETWORKDAYS.INTL(ProjectStart,Tasks[[#This Row],[_ShownFcstFinish]],WorkWeek,Holidays)),0)</f>
        <v>0</v>
      </c>
      <c r="DZ18" s="41" t="n">
        <f aca="false">IF(AND(Tasks[[#This Row],[_IsLeaf]]=1,Tasks[[#This Row],[_LeafTotalWork]]&gt;0),Tasks[[#This Row],[_LeafWork]]/(Tasks[[#This Row],[_FinishWorkday]]-Tasks[[#This Row],[_StartWorkday]]+1),0)</f>
        <v>0</v>
      </c>
      <c r="EA18" s="41" t="n">
        <f aca="false">Tasks[[#This Row],[_WorkPerWorkday]]*(Tasks[[#This Row],[_StartWorkday]]-1)</f>
        <v>-0</v>
      </c>
      <c r="EB18" s="41" t="n">
        <f aca="false">IF(Tasks[[#This Row],[_IsLeaf]]=1,MAX(N(Tasks[[#This Row],[Duration]]),0.1),0)</f>
        <v>0</v>
      </c>
      <c r="EC18" s="41" t="n">
        <f aca="false">Tasks[[#This Row],[_WeightDur]]*Tasks[[#This Row],[_LeafProgress]]</f>
        <v>0</v>
      </c>
      <c r="ED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 s="41" t="str">
        <f aca="false">IF(AND(Tasks[[#This Row],[_IsLeaf]]=1,N(Tasks[[#This Row],[Duration]])=0,Tasks[[#This Row],[_LeafProgress]]&lt;1),Tasks[[#This Row],[_ShownFcstFinish]]+Tasks[[#This Row],[_Row]]/100000,"")</f>
        <v/>
      </c>
      <c r="EF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 s="41" t="n">
        <f aca="false">IF(NOT(Tasks[[#This Row],[_IsLeaf]]=1),0,IF(Tasks[[#This Row],[Baseline Cost]]="",Tasks[[#This Row],[_LeafTotalCost]],N(Tasks[[#This Row],[Baseline Cost]])))</f>
        <v>0</v>
      </c>
      <c r="EH18" s="41" t="n">
        <f aca="false">Tasks[[#This Row],[_LeafBudget]]*Tasks[[#This Row],[_PlannedPct]]</f>
        <v>0</v>
      </c>
      <c r="EI18" s="41" t="n">
        <f aca="false">Tasks[[#This Row],[_LeafBudget]]*Tasks[[#This Row],[_LeafProgress]]</f>
        <v>0</v>
      </c>
      <c r="EJ18" s="41" t="n">
        <f aca="false">IF(NOT(Tasks[[#This Row],[_IsLeaf]]=1),0,IF(Tasks[[#This Row],[Actual Cost]]="",Tasks[[#This Row],[_LeafTotalCost]]*Tasks[[#This Row],[_LeafProgress]],N(Tasks[[#This Row],[Actual Cost]])))</f>
        <v>0</v>
      </c>
      <c r="EK18" s="41" t="str">
        <f aca="false">IF(Tasks[[#This Row],[Task Name]]="","",LEFT(Tasks[[#This Row],[WBS]],FIND(".",Tasks[[#This Row],[WBS]]&amp;".")-1))</f>
        <v/>
      </c>
      <c r="EL18" s="41" t="str">
        <f aca="false">IF(AND(Tasks[[#This Row],[Task Name]]&lt;&gt;"",Tasks[[#This Row],[_Level]]=1),Tasks[[#This Row],[_Row]],"")</f>
        <v/>
      </c>
      <c r="EM18" s="41" t="str">
        <f aca="false">IF(AND(Tasks[[#This Row],[_IsLeaf]]=1,N(Tasks[[#This Row],[Duration]])=0),Tasks[[#This Row],[Planned Finish]]+Tasks[[#This Row],[_Row]]/100000,"")</f>
        <v/>
      </c>
      <c r="EN18" s="41" t="str">
        <f aca="false">IF(AND(Tasks[[#This Row],[_IsLeaf]]=1,Tasks[[#This Row],[_LeafProgress]]&lt;1,OR(N(Tasks[[#This Row],[Finish Var]])&gt;0,Tasks[[#This Row],[Status]]="Late Start")),MAX(0,Tasks[[#This Row],[Finish Var]])+1-Tasks[[#This Row],[_Row]]/1000000,"")</f>
        <v/>
      </c>
      <c r="EO18" s="41" t="str">
        <f aca="false">IF(AND(Tasks[[#This Row],[_IsLeaf]]=1,N(Tasks[[#This Row],[Actual Start]])=0,Tasks[[#This Row],[_ShownFcstStart]]&gt;=StatusDate,Tasks[[#This Row],[_ShownFcstStart]]&lt;=LookaheadEnd),Tasks[[#This Row],[_ShownFcstStart]]+Tasks[[#This Row],[_Row]]/100000,"")</f>
        <v/>
      </c>
      <c r="EP18" s="41" t="str">
        <f aca="false">IF(AND(Tasks[[#This Row],[_IsLeaf]]=1,Tasks[[#This Row],[_LeafProgress]]&lt;1,Tasks[[#This Row],[_ShownFcstFinish]]&gt;=StatusDate,Tasks[[#This Row],[_ShownFcstFinish]]&lt;=LookaheadEnd),Tasks[[#This Row],[_ShownFcstFinish]]+Tasks[[#This Row],[_Row]]/100000,"")</f>
        <v/>
      </c>
      <c r="EQ18" s="41" t="str">
        <f aca="false">IF(Tasks[[#This Row],[_LeafCritical]],Tasks[[#This Row],[_ShownFcstStart]]+Tasks[[#This Row],[_Row]]/100000,"")</f>
        <v/>
      </c>
      <c r="ER18" s="41" t="n">
        <f aca="false">Tasks[[#This Row],[_LeafWork]]*Tasks[[#This Row],[_LeafProgress]]</f>
        <v>0</v>
      </c>
      <c r="ES18" s="101" t="str">
        <f aca="false">IF(AND(Tasks[[#This Row],[_IsLeaf]]=1,Tasks[[#This Row],[_LeafProgress]]&gt;=1),IF(N(Tasks[[#This Row],[Actual Finish]])&gt;0,Tasks[[#This Row],[Actual Finish]],Tasks[[#This Row],[_ShownFcstFinish]]),"")</f>
        <v/>
      </c>
      <c r="ET18" s="41" t="n">
        <f aca="false">IF(Tasks[[#This Row],[_IsLeaf]]=1,N(Tasks[[#This Row],[Story Points]]),0)</f>
        <v>0</v>
      </c>
      <c r="EU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29"/>
      <c r="O19" s="29"/>
      <c r="P19" s="29"/>
      <c r="Q19" s="29"/>
      <c r="R19" s="29"/>
      <c r="S19" s="29"/>
      <c r="T19" s="30"/>
      <c r="U19" s="75"/>
      <c r="V19" s="75"/>
      <c r="W19" s="25" t="str">
        <f aca="false">IF(Tasks[[#This Row],[Task Name]]="","",IF(N(Tasks[[#This Row],[Baseline Start]])&gt;0,Tasks[[#This Row],[Baseline Start]],Tasks[[#This Row],[_CalcStart]]))</f>
        <v/>
      </c>
      <c r="X19" s="25" t="str">
        <f aca="false">IF(Tasks[[#This Row],[Task Name]]="","",IF(N(Tasks[[#This Row],[Baseline Finish]])&gt;0,Tasks[[#This Row],[Baseline Finish]],Tasks[[#This Row],[_CalcFinish]]))</f>
        <v/>
      </c>
      <c r="Y19" s="75"/>
      <c r="Z19" s="75"/>
      <c r="AA19" s="25" t="str">
        <f aca="false">IF(Tasks[[#This Row],[Task Name]]="","",IF(Tasks[[#This Row],[_IsSummary]],MIN(INDEX(Tasks[_ShownFcstStart],Tasks[[#This Row],[_Row]]+1):INDEX(Tasks[_ShownFcstStart],Tasks[[#This Row],[_Row]]+Tasks[[#This Row],[_Descendants]])),Tasks[[#This Row],[_ShownFcstStart]]))</f>
        <v/>
      </c>
      <c r="AB19" s="25" t="str">
        <f aca="false">IF(Tasks[[#This Row],[Task Name]]="","",IF(Tasks[[#This Row],[_IsSummary]],MAX(INDEX(Tasks[_ShownFcstFinish],Tasks[[#This Row],[_Row]]+1):INDEX(Tasks[_ShownFcstFinish],Tasks[[#This Row],[_Row]]+Tasks[[#This Row],[_Descendants]])),Tasks[[#This Row],[_ShownFcstFinish]]))</f>
        <v/>
      </c>
      <c r="AC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 s="25" t="str">
        <f aca="false">IF(Tasks[[#This Row],[Task Name]]="","",IF(Tasks[[#This Row],[_IsSummary]],MIN(INDEX(Tasks[_LeafLateStart],Tasks[[#This Row],[_Row]]+1):INDEX(Tasks[_LeafLateStart],Tasks[[#This Row],[_Row]]+Tasks[[#This Row],[_Descendants]])),Tasks[[#This Row],[_LeafLateStart]]))</f>
        <v/>
      </c>
      <c r="AF19" s="25" t="str">
        <f aca="false">IF(Tasks[[#This Row],[Task Name]]="","",IF(Tasks[[#This Row],[_IsSummary]],MAX(INDEX(Tasks[_LeafLateFinish],Tasks[[#This Row],[_Row]]+1):INDEX(Tasks[_LeafLateFinish],Tasks[[#This Row],[_Row]]+Tasks[[#This Row],[_Descendants]])),Tasks[[#This Row],[_LeafLateFinish]]))</f>
        <v/>
      </c>
      <c r="AG19" s="28" t="str">
        <f aca="false">IF(Tasks[[#This Row],[Task Name]]="","",IF(Tasks[[#This Row],[_IsSummary]],MIN(INDEX(Tasks[_LeafTotalSlack],Tasks[[#This Row],[_Row]]+1):INDEX(Tasks[_LeafTotalSlack],Tasks[[#This Row],[_Row]]+Tasks[[#This Row],[_Descendants]])),Tasks[[#This Row],[_LeafTotalSlack]]))</f>
        <v/>
      </c>
      <c r="AH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 s="28" t="str">
        <f aca="false">IF(Tasks[[#This Row],[Task Name]]="","",IF(IF(Tasks[[#This Row],[_IsSummary]],COUNTIF(INDEX(Tasks[_LeafCritical],Tasks[[#This Row],[_Row]]+1):INDEX(Tasks[_LeafCritical],Tasks[[#This Row],[_Row]]+Tasks[[#This Row],[_Descendants]]),TRUE())&gt;0,Tasks[[#This Row],[_LeafCritical]]),"Yes",""))</f>
        <v/>
      </c>
      <c r="AJ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 s="89"/>
      <c r="AM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 s="28" t="str">
        <f aca="false">IF(Tasks[[#This Row],[Task Name]]="","",IF(Tasks[[#This Row],[Progress]]&gt;=1,"Complete",IF(OR(N(Tasks[[#This Row],[Actual Start]])&gt;0,Tasks[[#This Row],[Progress]]&gt;0),IF(Tasks[[#This Row],[Finish Var]]&gt;0,"Behind","In Progress"),IF(Tasks[[#This Row],[Planned Start]]&lt;StatusDate,"Late Start","Not Started"))))</f>
        <v/>
      </c>
      <c r="AO19" s="30"/>
      <c r="AP19" s="89"/>
      <c r="AQ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 s="96" t="str">
        <f aca="false">IF(Tasks[[#This Row],[Task Name]]="","",IF(Tasks[[#This Row],[_IsSummary]],SUM(INDEX(Tasks[_LeafTotalWork],Tasks[[#This Row],[_Row]]+1):INDEX(Tasks[_LeafTotalWork],Tasks[[#This Row],[_Row]]+Tasks[[#This Row],[_Descendants]])),Tasks[[#This Row],[_LeafTotalWork]]))</f>
        <v/>
      </c>
      <c r="AT19" s="97" t="str">
        <f aca="false">IF(Tasks[[#This Row],[Task Name]]="","",IF(Tasks[[#This Row],[_IsSummary]],SUM(INDEX(Tasks[_LeafTotalCost],Tasks[[#This Row],[_Row]]+1):INDEX(Tasks[_LeafTotalCost],Tasks[[#This Row],[_Row]]+Tasks[[#This Row],[_Descendants]])),Tasks[[#This Row],[_LeafTotalCost]]))</f>
        <v/>
      </c>
      <c r="AU19" s="98"/>
      <c r="AV19" s="29"/>
      <c r="AW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 s="83"/>
      <c r="AY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 s="30"/>
      <c r="BA19" s="25" t="str">
        <f aca="false">IF(Tasks[[#This Row],[Task Name]]="","",Tasks[[#This Row],[Forecast Start]])</f>
        <v/>
      </c>
      <c r="BB19" s="25" t="str">
        <f aca="false">IF(Tasks[[#This Row],[Task Name]]="","",Tasks[[#This Row],[Forecast Finish]])</f>
        <v/>
      </c>
      <c r="BC19" s="28" t="str">
        <f aca="false">IF(Tasks[[#This Row],[Task Name]]="","",IF(Tasks[[#This Row],[_IsSummary]],NETWORKDAYS.INTL(Tasks[[#This Row],[Forecast Start]],Tasks[[#This Row],[Forecast Finish]],WorkWeek,Holidays),N(Tasks[[#This Row],[Duration]])))</f>
        <v/>
      </c>
      <c r="BD19" s="96" t="str">
        <f aca="false">IF(Tasks[[#This Row],[Task Name]]="","",Tasks[[#This Row],[Work]])</f>
        <v/>
      </c>
      <c r="BE19" s="97" t="str">
        <f aca="false">IF(Tasks[[#This Row],[Task Name]]="","",Tasks[[#This Row],[Cost]])</f>
        <v/>
      </c>
      <c r="BF19" s="75"/>
      <c r="BG19" s="75"/>
      <c r="BH19" s="29"/>
      <c r="BI19" s="99"/>
      <c r="BJ19" s="98"/>
      <c r="BK19" s="28" t="str">
        <f aca="false">IF(OR(Tasks[[#This Row],[Task Name]]="",Tasks[[#This Row],[Baseline Duration]]=""),"",Tasks[[#This Row],[BL Source Duration]]-N(Tasks[[#This Row],[Baseline Duration]]))</f>
        <v/>
      </c>
      <c r="BL19" s="96" t="str">
        <f aca="false">IF(OR(Tasks[[#This Row],[Task Name]]="",Tasks[[#This Row],[Baseline Work]]=""),"",Tasks[[#This Row],[Work]]-N(Tasks[[#This Row],[Baseline Work]]))</f>
        <v/>
      </c>
      <c r="BM19" s="97" t="str">
        <f aca="false">IF(OR(Tasks[[#This Row],[Task Name]]="",Tasks[[#This Row],[Baseline Cost]]=""),"",Tasks[[#This Row],[Cost]]-N(Tasks[[#This Row],[Baseline Cost]]))</f>
        <v/>
      </c>
      <c r="BN19" s="97" t="str">
        <f aca="false">IF(Tasks[[#This Row],[Task Name]]="","",IF(Tasks[[#This Row],[_IsSummary]],SUM(INDEX(Tasks[_LeafBudget],Tasks[[#This Row],[_Row]]+1):INDEX(Tasks[_LeafBudget],Tasks[[#This Row],[_Row]]+Tasks[[#This Row],[_Descendants]])),Tasks[[#This Row],[_LeafBudget]]))</f>
        <v/>
      </c>
      <c r="BO19" s="97" t="str">
        <f aca="false">IF(Tasks[[#This Row],[Task Name]]="","",IF(Tasks[[#This Row],[_IsSummary]],SUM(INDEX(Tasks[_LeafPV],Tasks[[#This Row],[_Row]]+1):INDEX(Tasks[_LeafPV],Tasks[[#This Row],[_Row]]+Tasks[[#This Row],[_Descendants]])),Tasks[[#This Row],[_LeafPV]]))</f>
        <v/>
      </c>
      <c r="BP19" s="97" t="str">
        <f aca="false">IF(Tasks[[#This Row],[Task Name]]="","",IF(Tasks[[#This Row],[_IsSummary]],SUM(INDEX(Tasks[_LeafEV],Tasks[[#This Row],[_Row]]+1):INDEX(Tasks[_LeafEV],Tasks[[#This Row],[_Row]]+Tasks[[#This Row],[_Descendants]])),Tasks[[#This Row],[_LeafEV]]))</f>
        <v/>
      </c>
      <c r="BQ19" s="97" t="str">
        <f aca="false">IF(Tasks[[#This Row],[Task Name]]="","",IF(Tasks[[#This Row],[_IsSummary]],SUM(INDEX(Tasks[_LeafAC],Tasks[[#This Row],[_Row]]+1):INDEX(Tasks[_LeafAC],Tasks[[#This Row],[_Row]]+Tasks[[#This Row],[_Descendants]])),Tasks[[#This Row],[_LeafAC]]))</f>
        <v/>
      </c>
      <c r="BR19" s="41" t="str">
        <f aca="false">IF(Tasks[[#This Row],[Task Name]]="","",MAX(1,N(Tasks[[#This Row],[Level]])))</f>
        <v/>
      </c>
      <c r="BS19" s="41" t="n">
        <f aca="false">ROW()-ROW(Tasks[[#Headers],[ID]])</f>
        <v>14</v>
      </c>
      <c r="BT19" s="41" t="n">
        <f aca="false">IF(OR(Tasks[[#This Row],[Task Name]]="",Tasks[[#This Row],[_Level]]&lt;=1),0,IFERROR(LOOKUP(2,1/(Tasks[[#Headers],[_Level]]:Tasks[[#This Row],[_Level]]=Tasks[[#This Row],[_Level]]-1),ROW(Tasks[[#Headers],[_Level]]:Tasks[[#This Row],[_Level]])),0))</f>
        <v>0</v>
      </c>
      <c r="BU19" s="41" t="n">
        <f aca="false">IFERROR(N(INDEX(Tasks[_Level],Tasks[[#This Row],[_Row]]+1)),0)</f>
        <v>0</v>
      </c>
      <c r="BV19" s="100" t="b">
        <f aca="false">AND(Tasks[[#This Row],[Task Name]]&lt;&gt;"",Tasks[[#This Row],[_NextLevel]]&gt;Tasks[[#This Row],[_Level]])</f>
        <v>0</v>
      </c>
      <c r="BW19" s="41" t="n">
        <f aca="false">IF(Tasks[[#This Row],[_IsSummary]],COUNTIF(Tasks[WBS],Tasks[[#This Row],[WBS]]&amp;".*"),0)</f>
        <v>0</v>
      </c>
      <c r="BX19" s="41" t="n">
        <f aca="false">IF(AND(Tasks[[#This Row],[Task Name]]&lt;&gt;"",NOT(Tasks[[#This Row],[_IsSummary]])),1,0)</f>
        <v>0</v>
      </c>
      <c r="BY19" s="41" t="n">
        <f aca="false">IF(N(Tasks[[#This Row],[Pred1 UID]])=0,0,IFERROR(MATCH(Tasks[[#This Row],[Pred1 UID]],Tasks[UID],0),-1))</f>
        <v>0</v>
      </c>
      <c r="BZ19" s="41" t="n">
        <f aca="false">IF(N(Tasks[[#This Row],[Pred2 UID]])=0,0,IFERROR(MATCH(Tasks[[#This Row],[Pred2 UID]],Tasks[UID],0),-1))</f>
        <v>0</v>
      </c>
      <c r="CA19" s="41" t="n">
        <f aca="false">IF(N(Tasks[[#This Row],[Pred3 UID]])=0,0,IFERROR(MATCH(Tasks[[#This Row],[Pred3 UID]],Tasks[UID],0),-1))</f>
        <v>0</v>
      </c>
      <c r="CB19" s="41" t="n">
        <f aca="false">IF(N(Tasks[[#This Row],[Pred4 UID]])=0,0,IFERROR(MATCH(Tasks[[#This Row],[Pred4 UID]],Tasks[UID],0),-1))</f>
        <v>0</v>
      </c>
      <c r="CC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 s="101" t="n">
        <f aca="false">IF(OR(Tasks[[#This Row],[_ConstraintCode]]=2,Tasks[[#This Row],[_ConstraintCode]]=3,Tasks[[#This Row],[_ConstraintCode]]=4,Tasks[[#This Row],[_ConstraintCode]]=6),Tasks[[#This Row],[_ConstraintStart]],0)</f>
        <v>0</v>
      </c>
      <c r="CF19" s="101" t="n">
        <f aca="false">IF(OR(Tasks[[#This Row],[_ConstraintCode]]=2,Tasks[[#This Row],[_ConstraintCode]]=3,Tasks[[#This Row],[_ConstraintCode]]=5,Tasks[[#This Row],[_ConstraintCode]]=7),Tasks[[#This Row],[_ConstraintStart]],2958465)</f>
        <v>2958465</v>
      </c>
      <c r="CG1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 s="101" t="str">
        <f aca="false">IF(NOT(Tasks[[#This Row],[_IsLeaf]]=1),"",IF(N(Tasks[[#This Row],[Duration]])&lt;=0,Tasks[[#This Row],[_LeafCalcStart]],WORKDAY.INTL(Tasks[[#This Row],[_LeafCalcStart]],Tasks[[#This Row],[Duration]]-1,WorkWeek,Holidays)))</f>
        <v/>
      </c>
      <c r="CI1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 s="41" t="n">
        <f aca="false">IF(NOT(Tasks[[#This Row],[_IsLeaf]]=1),0,IF(N(Tasks[[#This Row],[Actual Finish]])&gt;0,1,MIN(1,N(Tasks[[#This Row],[% Complete]]))))</f>
        <v>0</v>
      </c>
      <c r="CL19" s="41" t="n">
        <f aca="false">IF(OR(NOT(Tasks[[#This Row],[_IsLeaf]]=1),Tasks[[#This Row],[Resource]]=""),0,N(Tasks[[#This Row],[Duration]])*HoursPerDay*IF(Tasks[[#This Row],[Units]]="",DefaultUnits,Tasks[[#This Row],[Units]]))</f>
        <v>0</v>
      </c>
      <c r="CM19" s="41" t="n">
        <f aca="false">IF(Tasks[[#This Row],[_LeafWork]]=0,0,Tasks[[#This Row],[_LeafWork]]*IFERROR(INDEX(res_Rate,MATCH(Tasks[[#This Row],[Resource]],res_Name,0)),0))</f>
        <v>0</v>
      </c>
      <c r="CN19" s="41" t="n">
        <f aca="false">Tasks[[#This Row],[_LeafWork]]+IF(Tasks[[#This Row],[_IsLeaf]]=1,SUMIFS(asg_Work,asg_TaskUID,Tasks[[#This Row],[UID]],asg_Valid,1),0)</f>
        <v>0</v>
      </c>
      <c r="CO19" s="41" t="n">
        <f aca="false">Tasks[[#This Row],[_LeafCost]]+IF(Tasks[[#This Row],[_IsLeaf]]=1,SUMIFS(asg_Cost,asg_TaskUID,Tasks[[#This Row],[UID]],asg_Valid,1),0)</f>
        <v>0</v>
      </c>
      <c r="CP19" s="41" t="n">
        <f aca="false">IF(Tasks[[#This Row],[_LeafTotalCost]]=0,Tasks[[#This Row],[_LeafAC]],Tasks[[#This Row],[_LeafAC]]*Tasks[[#This Row],[_LeafCost]]/Tasks[[#This Row],[_LeafTotalCost]])</f>
        <v>0</v>
      </c>
      <c r="CQ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 s="41" t="n">
        <f aca="false">IF(NOT(Tasks[[#This Row],[_IsLeaf]]=1),0,MAX(_xlfn.MAXIFS(Tasks[_Row],Tasks[Pred1 UID],Tasks[[#This Row],[UID]]),_xlfn.MAXIFS(Tasks[_Row],Tasks[Pred2 UID],Tasks[[#This Row],[UID]]),_xlfn.MAXIFS(Tasks[_Row],Tasks[Pred3 UID],Tasks[[#This Row],[UID]]),_xlfn.MAXIFS(Tasks[_Row],Tasks[Pred4 UID],Tasks[[#This Row],[UID]])))</f>
        <v>0</v>
      </c>
      <c r="CZ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 s="101" t="str">
        <f aca="false">IF(NOT(Tasks[[#This Row],[_IsLeaf]]=1),"",IF(N(Tasks[[#This Row],[Duration]])&lt;=0,Tasks[[#This Row],[_LeafLateFinish]],WORKDAY.INTL(Tasks[[#This Row],[_LeafLateFinish]],-(Tasks[[#This Row],[Duration]]-1),WorkWeek,Holidays)))</f>
        <v/>
      </c>
      <c r="DC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 s="100" t="b">
        <f aca="false">AND(Tasks[[#This Row],[_IsLeaf]]=1,Tasks[[#This Row],[_LeafProgress]]&lt;1,N(Tasks[[#This Row],[_LeafTotalSlack]])&lt;=CriticalSlackDays)</f>
        <v>0</v>
      </c>
      <c r="DE19" s="41" t="n">
        <f aca="false">IF(AND(Tasks[[#This Row],[_IsLeaf]]=1,Tasks[[#This Row],[_ConstraintCode]]=1,Tasks[[#This Row],[Mode]]&lt;&gt;"Manual",N(Tasks[[#This Row],[Actual Start]])=0),MAX(0,N(Tasks[[#This Row],[Free Slack]])),0)</f>
        <v>0</v>
      </c>
      <c r="DF19" s="101" t="str">
        <f aca="false">IF(NOT(Tasks[[#This Row],[_IsLeaf]]=1),"",IF(Tasks[[#This Row],[_AlapShift]]=0,Tasks[[#This Row],[_LeafCalcStart]],WORKDAY.INTL(Tasks[[#This Row],[_LeafCalcStart]],Tasks[[#This Row],[_AlapShift]],WorkWeek,Holidays)))</f>
        <v/>
      </c>
      <c r="DG19" s="101" t="str">
        <f aca="false">IF(NOT(Tasks[[#This Row],[_IsLeaf]]=1),"",IF(Tasks[[#This Row],[_AlapShift]]=0,Tasks[[#This Row],[_LeafCalcFinish]],WORKDAY.INTL(Tasks[[#This Row],[_LeafCalcFinish]],Tasks[[#This Row],[_AlapShift]],WorkWeek,Holidays)))</f>
        <v/>
      </c>
      <c r="DH19" s="101" t="str">
        <f aca="false">IF(NOT(Tasks[[#This Row],[_IsLeaf]]=1),"",IF(Tasks[[#This Row],[_AlapShift]]=0,Tasks[[#This Row],[_LeafFcstStart]],WORKDAY.INTL(Tasks[[#This Row],[_LeafFcstStart]],Tasks[[#This Row],[_AlapShift]],WorkWeek,Holidays)))</f>
        <v/>
      </c>
      <c r="DI19" s="101" t="str">
        <f aca="false">IF(NOT(Tasks[[#This Row],[_IsLeaf]]=1),"",IF(Tasks[[#This Row],[_AlapShift]]=0,Tasks[[#This Row],[_LeafFcstFinish]],WORKDAY.INTL(Tasks[[#This Row],[_LeafFcstFinish]],Tasks[[#This Row],[_AlapShift]],WorkWeek,Holidays)))</f>
        <v/>
      </c>
      <c r="DJ19" s="101" t="str">
        <f aca="false">IF(Tasks[[#This Row],[Task Name]]="","",IF(Tasks[[#This Row],[_IsSummary]],MIN(INDEX(Tasks[_ShownCalcStart],Tasks[[#This Row],[_Row]]+1):INDEX(Tasks[_ShownCalcStart],Tasks[[#This Row],[_Row]]+Tasks[[#This Row],[_Descendants]])),Tasks[[#This Row],[_ShownCalcStart]]))</f>
        <v/>
      </c>
      <c r="DK19" s="101" t="str">
        <f aca="false">IF(Tasks[[#This Row],[Task Name]]="","",IF(Tasks[[#This Row],[_IsSummary]],MAX(INDEX(Tasks[_ShownCalcFinish],Tasks[[#This Row],[_Row]]+1):INDEX(Tasks[_ShownCalcFinish],Tasks[[#This Row],[_Row]]+Tasks[[#This Row],[_Descendants]])),Tasks[[#This Row],[_ShownCalcFinish]]))</f>
        <v/>
      </c>
      <c r="D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 s="41" t="n">
        <f aca="false">IF(AND(Tasks[[#This Row],[_IsLeaf]]=1,Tasks[[#This Row],[_LeafTotalWork]]&gt;0),NETWORKDAYS.INTL(ProjectStart,Tasks[[#This Row],[_ShownFcstStart]],WorkWeek,Holidays),0)</f>
        <v>0</v>
      </c>
      <c r="DY19" s="41" t="n">
        <f aca="false">IF(AND(Tasks[[#This Row],[_IsLeaf]]=1,Tasks[[#This Row],[_LeafTotalWork]]&gt;0),MAX(Tasks[[#This Row],[_StartWorkday]],NETWORKDAYS.INTL(ProjectStart,Tasks[[#This Row],[_ShownFcstFinish]],WorkWeek,Holidays)),0)</f>
        <v>0</v>
      </c>
      <c r="DZ19" s="41" t="n">
        <f aca="false">IF(AND(Tasks[[#This Row],[_IsLeaf]]=1,Tasks[[#This Row],[_LeafTotalWork]]&gt;0),Tasks[[#This Row],[_LeafWork]]/(Tasks[[#This Row],[_FinishWorkday]]-Tasks[[#This Row],[_StartWorkday]]+1),0)</f>
        <v>0</v>
      </c>
      <c r="EA19" s="41" t="n">
        <f aca="false">Tasks[[#This Row],[_WorkPerWorkday]]*(Tasks[[#This Row],[_StartWorkday]]-1)</f>
        <v>-0</v>
      </c>
      <c r="EB19" s="41" t="n">
        <f aca="false">IF(Tasks[[#This Row],[_IsLeaf]]=1,MAX(N(Tasks[[#This Row],[Duration]]),0.1),0)</f>
        <v>0</v>
      </c>
      <c r="EC19" s="41" t="n">
        <f aca="false">Tasks[[#This Row],[_WeightDur]]*Tasks[[#This Row],[_LeafProgress]]</f>
        <v>0</v>
      </c>
      <c r="ED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 s="41" t="str">
        <f aca="false">IF(AND(Tasks[[#This Row],[_IsLeaf]]=1,N(Tasks[[#This Row],[Duration]])=0,Tasks[[#This Row],[_LeafProgress]]&lt;1),Tasks[[#This Row],[_ShownFcstFinish]]+Tasks[[#This Row],[_Row]]/100000,"")</f>
        <v/>
      </c>
      <c r="EF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 s="41" t="n">
        <f aca="false">IF(NOT(Tasks[[#This Row],[_IsLeaf]]=1),0,IF(Tasks[[#This Row],[Baseline Cost]]="",Tasks[[#This Row],[_LeafTotalCost]],N(Tasks[[#This Row],[Baseline Cost]])))</f>
        <v>0</v>
      </c>
      <c r="EH19" s="41" t="n">
        <f aca="false">Tasks[[#This Row],[_LeafBudget]]*Tasks[[#This Row],[_PlannedPct]]</f>
        <v>0</v>
      </c>
      <c r="EI19" s="41" t="n">
        <f aca="false">Tasks[[#This Row],[_LeafBudget]]*Tasks[[#This Row],[_LeafProgress]]</f>
        <v>0</v>
      </c>
      <c r="EJ19" s="41" t="n">
        <f aca="false">IF(NOT(Tasks[[#This Row],[_IsLeaf]]=1),0,IF(Tasks[[#This Row],[Actual Cost]]="",Tasks[[#This Row],[_LeafTotalCost]]*Tasks[[#This Row],[_LeafProgress]],N(Tasks[[#This Row],[Actual Cost]])))</f>
        <v>0</v>
      </c>
      <c r="EK19" s="41" t="str">
        <f aca="false">IF(Tasks[[#This Row],[Task Name]]="","",LEFT(Tasks[[#This Row],[WBS]],FIND(".",Tasks[[#This Row],[WBS]]&amp;".")-1))</f>
        <v/>
      </c>
      <c r="EL19" s="41" t="str">
        <f aca="false">IF(AND(Tasks[[#This Row],[Task Name]]&lt;&gt;"",Tasks[[#This Row],[_Level]]=1),Tasks[[#This Row],[_Row]],"")</f>
        <v/>
      </c>
      <c r="EM19" s="41" t="str">
        <f aca="false">IF(AND(Tasks[[#This Row],[_IsLeaf]]=1,N(Tasks[[#This Row],[Duration]])=0),Tasks[[#This Row],[Planned Finish]]+Tasks[[#This Row],[_Row]]/100000,"")</f>
        <v/>
      </c>
      <c r="EN19" s="41" t="str">
        <f aca="false">IF(AND(Tasks[[#This Row],[_IsLeaf]]=1,Tasks[[#This Row],[_LeafProgress]]&lt;1,OR(N(Tasks[[#This Row],[Finish Var]])&gt;0,Tasks[[#This Row],[Status]]="Late Start")),MAX(0,Tasks[[#This Row],[Finish Var]])+1-Tasks[[#This Row],[_Row]]/1000000,"")</f>
        <v/>
      </c>
      <c r="EO19" s="41" t="str">
        <f aca="false">IF(AND(Tasks[[#This Row],[_IsLeaf]]=1,N(Tasks[[#This Row],[Actual Start]])=0,Tasks[[#This Row],[_ShownFcstStart]]&gt;=StatusDate,Tasks[[#This Row],[_ShownFcstStart]]&lt;=LookaheadEnd),Tasks[[#This Row],[_ShownFcstStart]]+Tasks[[#This Row],[_Row]]/100000,"")</f>
        <v/>
      </c>
      <c r="EP19" s="41" t="str">
        <f aca="false">IF(AND(Tasks[[#This Row],[_IsLeaf]]=1,Tasks[[#This Row],[_LeafProgress]]&lt;1,Tasks[[#This Row],[_ShownFcstFinish]]&gt;=StatusDate,Tasks[[#This Row],[_ShownFcstFinish]]&lt;=LookaheadEnd),Tasks[[#This Row],[_ShownFcstFinish]]+Tasks[[#This Row],[_Row]]/100000,"")</f>
        <v/>
      </c>
      <c r="EQ19" s="41" t="str">
        <f aca="false">IF(Tasks[[#This Row],[_LeafCritical]],Tasks[[#This Row],[_ShownFcstStart]]+Tasks[[#This Row],[_Row]]/100000,"")</f>
        <v/>
      </c>
      <c r="ER19" s="41" t="n">
        <f aca="false">Tasks[[#This Row],[_LeafWork]]*Tasks[[#This Row],[_LeafProgress]]</f>
        <v>0</v>
      </c>
      <c r="ES19" s="101" t="str">
        <f aca="false">IF(AND(Tasks[[#This Row],[_IsLeaf]]=1,Tasks[[#This Row],[_LeafProgress]]&gt;=1),IF(N(Tasks[[#This Row],[Actual Finish]])&gt;0,Tasks[[#This Row],[Actual Finish]],Tasks[[#This Row],[_ShownFcstFinish]]),"")</f>
        <v/>
      </c>
      <c r="ET19" s="41" t="n">
        <f aca="false">IF(Tasks[[#This Row],[_IsLeaf]]=1,N(Tasks[[#This Row],[Story Points]]),0)</f>
        <v>0</v>
      </c>
      <c r="EU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29"/>
      <c r="O20" s="29"/>
      <c r="P20" s="29"/>
      <c r="Q20" s="29"/>
      <c r="R20" s="29"/>
      <c r="S20" s="29"/>
      <c r="T20" s="30"/>
      <c r="U20" s="75"/>
      <c r="V20" s="75"/>
      <c r="W20" s="25" t="str">
        <f aca="false">IF(Tasks[[#This Row],[Task Name]]="","",IF(N(Tasks[[#This Row],[Baseline Start]])&gt;0,Tasks[[#This Row],[Baseline Start]],Tasks[[#This Row],[_CalcStart]]))</f>
        <v/>
      </c>
      <c r="X20" s="25" t="str">
        <f aca="false">IF(Tasks[[#This Row],[Task Name]]="","",IF(N(Tasks[[#This Row],[Baseline Finish]])&gt;0,Tasks[[#This Row],[Baseline Finish]],Tasks[[#This Row],[_CalcFinish]]))</f>
        <v/>
      </c>
      <c r="Y20" s="75"/>
      <c r="Z20" s="75"/>
      <c r="AA20" s="25" t="str">
        <f aca="false">IF(Tasks[[#This Row],[Task Name]]="","",IF(Tasks[[#This Row],[_IsSummary]],MIN(INDEX(Tasks[_ShownFcstStart],Tasks[[#This Row],[_Row]]+1):INDEX(Tasks[_ShownFcstStart],Tasks[[#This Row],[_Row]]+Tasks[[#This Row],[_Descendants]])),Tasks[[#This Row],[_ShownFcstStart]]))</f>
        <v/>
      </c>
      <c r="AB20" s="25" t="str">
        <f aca="false">IF(Tasks[[#This Row],[Task Name]]="","",IF(Tasks[[#This Row],[_IsSummary]],MAX(INDEX(Tasks[_ShownFcstFinish],Tasks[[#This Row],[_Row]]+1):INDEX(Tasks[_ShownFcstFinish],Tasks[[#This Row],[_Row]]+Tasks[[#This Row],[_Descendants]])),Tasks[[#This Row],[_ShownFcstFinish]]))</f>
        <v/>
      </c>
      <c r="AC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 s="25" t="str">
        <f aca="false">IF(Tasks[[#This Row],[Task Name]]="","",IF(Tasks[[#This Row],[_IsSummary]],MIN(INDEX(Tasks[_LeafLateStart],Tasks[[#This Row],[_Row]]+1):INDEX(Tasks[_LeafLateStart],Tasks[[#This Row],[_Row]]+Tasks[[#This Row],[_Descendants]])),Tasks[[#This Row],[_LeafLateStart]]))</f>
        <v/>
      </c>
      <c r="AF20" s="25" t="str">
        <f aca="false">IF(Tasks[[#This Row],[Task Name]]="","",IF(Tasks[[#This Row],[_IsSummary]],MAX(INDEX(Tasks[_LeafLateFinish],Tasks[[#This Row],[_Row]]+1):INDEX(Tasks[_LeafLateFinish],Tasks[[#This Row],[_Row]]+Tasks[[#This Row],[_Descendants]])),Tasks[[#This Row],[_LeafLateFinish]]))</f>
        <v/>
      </c>
      <c r="AG20" s="28" t="str">
        <f aca="false">IF(Tasks[[#This Row],[Task Name]]="","",IF(Tasks[[#This Row],[_IsSummary]],MIN(INDEX(Tasks[_LeafTotalSlack],Tasks[[#This Row],[_Row]]+1):INDEX(Tasks[_LeafTotalSlack],Tasks[[#This Row],[_Row]]+Tasks[[#This Row],[_Descendants]])),Tasks[[#This Row],[_LeafTotalSlack]]))</f>
        <v/>
      </c>
      <c r="AH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 s="28" t="str">
        <f aca="false">IF(Tasks[[#This Row],[Task Name]]="","",IF(IF(Tasks[[#This Row],[_IsSummary]],COUNTIF(INDEX(Tasks[_LeafCritical],Tasks[[#This Row],[_Row]]+1):INDEX(Tasks[_LeafCritical],Tasks[[#This Row],[_Row]]+Tasks[[#This Row],[_Descendants]]),TRUE())&gt;0,Tasks[[#This Row],[_LeafCritical]]),"Yes",""))</f>
        <v/>
      </c>
      <c r="AJ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 s="89"/>
      <c r="AM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 s="28" t="str">
        <f aca="false">IF(Tasks[[#This Row],[Task Name]]="","",IF(Tasks[[#This Row],[Progress]]&gt;=1,"Complete",IF(OR(N(Tasks[[#This Row],[Actual Start]])&gt;0,Tasks[[#This Row],[Progress]]&gt;0),IF(Tasks[[#This Row],[Finish Var]]&gt;0,"Behind","In Progress"),IF(Tasks[[#This Row],[Planned Start]]&lt;StatusDate,"Late Start","Not Started"))))</f>
        <v/>
      </c>
      <c r="AO20" s="30"/>
      <c r="AP20" s="89"/>
      <c r="AQ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 s="96" t="str">
        <f aca="false">IF(Tasks[[#This Row],[Task Name]]="","",IF(Tasks[[#This Row],[_IsSummary]],SUM(INDEX(Tasks[_LeafTotalWork],Tasks[[#This Row],[_Row]]+1):INDEX(Tasks[_LeafTotalWork],Tasks[[#This Row],[_Row]]+Tasks[[#This Row],[_Descendants]])),Tasks[[#This Row],[_LeafTotalWork]]))</f>
        <v/>
      </c>
      <c r="AT20" s="97" t="str">
        <f aca="false">IF(Tasks[[#This Row],[Task Name]]="","",IF(Tasks[[#This Row],[_IsSummary]],SUM(INDEX(Tasks[_LeafTotalCost],Tasks[[#This Row],[_Row]]+1):INDEX(Tasks[_LeafTotalCost],Tasks[[#This Row],[_Row]]+Tasks[[#This Row],[_Descendants]])),Tasks[[#This Row],[_LeafTotalCost]]))</f>
        <v/>
      </c>
      <c r="AU20" s="98"/>
      <c r="AV20" s="29"/>
      <c r="AW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 s="83"/>
      <c r="AY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 s="30"/>
      <c r="BA20" s="25" t="str">
        <f aca="false">IF(Tasks[[#This Row],[Task Name]]="","",Tasks[[#This Row],[Forecast Start]])</f>
        <v/>
      </c>
      <c r="BB20" s="25" t="str">
        <f aca="false">IF(Tasks[[#This Row],[Task Name]]="","",Tasks[[#This Row],[Forecast Finish]])</f>
        <v/>
      </c>
      <c r="BC20" s="28" t="str">
        <f aca="false">IF(Tasks[[#This Row],[Task Name]]="","",IF(Tasks[[#This Row],[_IsSummary]],NETWORKDAYS.INTL(Tasks[[#This Row],[Forecast Start]],Tasks[[#This Row],[Forecast Finish]],WorkWeek,Holidays),N(Tasks[[#This Row],[Duration]])))</f>
        <v/>
      </c>
      <c r="BD20" s="96" t="str">
        <f aca="false">IF(Tasks[[#This Row],[Task Name]]="","",Tasks[[#This Row],[Work]])</f>
        <v/>
      </c>
      <c r="BE20" s="97" t="str">
        <f aca="false">IF(Tasks[[#This Row],[Task Name]]="","",Tasks[[#This Row],[Cost]])</f>
        <v/>
      </c>
      <c r="BF20" s="75"/>
      <c r="BG20" s="75"/>
      <c r="BH20" s="29"/>
      <c r="BI20" s="99"/>
      <c r="BJ20" s="98"/>
      <c r="BK20" s="28" t="str">
        <f aca="false">IF(OR(Tasks[[#This Row],[Task Name]]="",Tasks[[#This Row],[Baseline Duration]]=""),"",Tasks[[#This Row],[BL Source Duration]]-N(Tasks[[#This Row],[Baseline Duration]]))</f>
        <v/>
      </c>
      <c r="BL20" s="96" t="str">
        <f aca="false">IF(OR(Tasks[[#This Row],[Task Name]]="",Tasks[[#This Row],[Baseline Work]]=""),"",Tasks[[#This Row],[Work]]-N(Tasks[[#This Row],[Baseline Work]]))</f>
        <v/>
      </c>
      <c r="BM20" s="97" t="str">
        <f aca="false">IF(OR(Tasks[[#This Row],[Task Name]]="",Tasks[[#This Row],[Baseline Cost]]=""),"",Tasks[[#This Row],[Cost]]-N(Tasks[[#This Row],[Baseline Cost]]))</f>
        <v/>
      </c>
      <c r="BN20" s="97" t="str">
        <f aca="false">IF(Tasks[[#This Row],[Task Name]]="","",IF(Tasks[[#This Row],[_IsSummary]],SUM(INDEX(Tasks[_LeafBudget],Tasks[[#This Row],[_Row]]+1):INDEX(Tasks[_LeafBudget],Tasks[[#This Row],[_Row]]+Tasks[[#This Row],[_Descendants]])),Tasks[[#This Row],[_LeafBudget]]))</f>
        <v/>
      </c>
      <c r="BO20" s="97" t="str">
        <f aca="false">IF(Tasks[[#This Row],[Task Name]]="","",IF(Tasks[[#This Row],[_IsSummary]],SUM(INDEX(Tasks[_LeafPV],Tasks[[#This Row],[_Row]]+1):INDEX(Tasks[_LeafPV],Tasks[[#This Row],[_Row]]+Tasks[[#This Row],[_Descendants]])),Tasks[[#This Row],[_LeafPV]]))</f>
        <v/>
      </c>
      <c r="BP20" s="97" t="str">
        <f aca="false">IF(Tasks[[#This Row],[Task Name]]="","",IF(Tasks[[#This Row],[_IsSummary]],SUM(INDEX(Tasks[_LeafEV],Tasks[[#This Row],[_Row]]+1):INDEX(Tasks[_LeafEV],Tasks[[#This Row],[_Row]]+Tasks[[#This Row],[_Descendants]])),Tasks[[#This Row],[_LeafEV]]))</f>
        <v/>
      </c>
      <c r="BQ20" s="97" t="str">
        <f aca="false">IF(Tasks[[#This Row],[Task Name]]="","",IF(Tasks[[#This Row],[_IsSummary]],SUM(INDEX(Tasks[_LeafAC],Tasks[[#This Row],[_Row]]+1):INDEX(Tasks[_LeafAC],Tasks[[#This Row],[_Row]]+Tasks[[#This Row],[_Descendants]])),Tasks[[#This Row],[_LeafAC]]))</f>
        <v/>
      </c>
      <c r="BR20" s="41" t="str">
        <f aca="false">IF(Tasks[[#This Row],[Task Name]]="","",MAX(1,N(Tasks[[#This Row],[Level]])))</f>
        <v/>
      </c>
      <c r="BS20" s="41" t="n">
        <f aca="false">ROW()-ROW(Tasks[[#Headers],[ID]])</f>
        <v>15</v>
      </c>
      <c r="BT20" s="41" t="n">
        <f aca="false">IF(OR(Tasks[[#This Row],[Task Name]]="",Tasks[[#This Row],[_Level]]&lt;=1),0,IFERROR(LOOKUP(2,1/(Tasks[[#Headers],[_Level]]:Tasks[[#This Row],[_Level]]=Tasks[[#This Row],[_Level]]-1),ROW(Tasks[[#Headers],[_Level]]:Tasks[[#This Row],[_Level]])),0))</f>
        <v>0</v>
      </c>
      <c r="BU20" s="41" t="n">
        <f aca="false">IFERROR(N(INDEX(Tasks[_Level],Tasks[[#This Row],[_Row]]+1)),0)</f>
        <v>0</v>
      </c>
      <c r="BV20" s="100" t="b">
        <f aca="false">AND(Tasks[[#This Row],[Task Name]]&lt;&gt;"",Tasks[[#This Row],[_NextLevel]]&gt;Tasks[[#This Row],[_Level]])</f>
        <v>0</v>
      </c>
      <c r="BW20" s="41" t="n">
        <f aca="false">IF(Tasks[[#This Row],[_IsSummary]],COUNTIF(Tasks[WBS],Tasks[[#This Row],[WBS]]&amp;".*"),0)</f>
        <v>0</v>
      </c>
      <c r="BX20" s="41" t="n">
        <f aca="false">IF(AND(Tasks[[#This Row],[Task Name]]&lt;&gt;"",NOT(Tasks[[#This Row],[_IsSummary]])),1,0)</f>
        <v>0</v>
      </c>
      <c r="BY20" s="41" t="n">
        <f aca="false">IF(N(Tasks[[#This Row],[Pred1 UID]])=0,0,IFERROR(MATCH(Tasks[[#This Row],[Pred1 UID]],Tasks[UID],0),-1))</f>
        <v>0</v>
      </c>
      <c r="BZ20" s="41" t="n">
        <f aca="false">IF(N(Tasks[[#This Row],[Pred2 UID]])=0,0,IFERROR(MATCH(Tasks[[#This Row],[Pred2 UID]],Tasks[UID],0),-1))</f>
        <v>0</v>
      </c>
      <c r="CA20" s="41" t="n">
        <f aca="false">IF(N(Tasks[[#This Row],[Pred3 UID]])=0,0,IFERROR(MATCH(Tasks[[#This Row],[Pred3 UID]],Tasks[UID],0),-1))</f>
        <v>0</v>
      </c>
      <c r="CB20" s="41" t="n">
        <f aca="false">IF(N(Tasks[[#This Row],[Pred4 UID]])=0,0,IFERROR(MATCH(Tasks[[#This Row],[Pred4 UID]],Tasks[UID],0),-1))</f>
        <v>0</v>
      </c>
      <c r="CC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 s="101" t="n">
        <f aca="false">IF(OR(Tasks[[#This Row],[_ConstraintCode]]=2,Tasks[[#This Row],[_ConstraintCode]]=3,Tasks[[#This Row],[_ConstraintCode]]=4,Tasks[[#This Row],[_ConstraintCode]]=6),Tasks[[#This Row],[_ConstraintStart]],0)</f>
        <v>0</v>
      </c>
      <c r="CF20" s="101" t="n">
        <f aca="false">IF(OR(Tasks[[#This Row],[_ConstraintCode]]=2,Tasks[[#This Row],[_ConstraintCode]]=3,Tasks[[#This Row],[_ConstraintCode]]=5,Tasks[[#This Row],[_ConstraintCode]]=7),Tasks[[#This Row],[_ConstraintStart]],2958465)</f>
        <v>2958465</v>
      </c>
      <c r="CG2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 s="101" t="str">
        <f aca="false">IF(NOT(Tasks[[#This Row],[_IsLeaf]]=1),"",IF(N(Tasks[[#This Row],[Duration]])&lt;=0,Tasks[[#This Row],[_LeafCalcStart]],WORKDAY.INTL(Tasks[[#This Row],[_LeafCalcStart]],Tasks[[#This Row],[Duration]]-1,WorkWeek,Holidays)))</f>
        <v/>
      </c>
      <c r="CI2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 s="41" t="n">
        <f aca="false">IF(NOT(Tasks[[#This Row],[_IsLeaf]]=1),0,IF(N(Tasks[[#This Row],[Actual Finish]])&gt;0,1,MIN(1,N(Tasks[[#This Row],[% Complete]]))))</f>
        <v>0</v>
      </c>
      <c r="CL20" s="41" t="n">
        <f aca="false">IF(OR(NOT(Tasks[[#This Row],[_IsLeaf]]=1),Tasks[[#This Row],[Resource]]=""),0,N(Tasks[[#This Row],[Duration]])*HoursPerDay*IF(Tasks[[#This Row],[Units]]="",DefaultUnits,Tasks[[#This Row],[Units]]))</f>
        <v>0</v>
      </c>
      <c r="CM20" s="41" t="n">
        <f aca="false">IF(Tasks[[#This Row],[_LeafWork]]=0,0,Tasks[[#This Row],[_LeafWork]]*IFERROR(INDEX(res_Rate,MATCH(Tasks[[#This Row],[Resource]],res_Name,0)),0))</f>
        <v>0</v>
      </c>
      <c r="CN20" s="41" t="n">
        <f aca="false">Tasks[[#This Row],[_LeafWork]]+IF(Tasks[[#This Row],[_IsLeaf]]=1,SUMIFS(asg_Work,asg_TaskUID,Tasks[[#This Row],[UID]],asg_Valid,1),0)</f>
        <v>0</v>
      </c>
      <c r="CO20" s="41" t="n">
        <f aca="false">Tasks[[#This Row],[_LeafCost]]+IF(Tasks[[#This Row],[_IsLeaf]]=1,SUMIFS(asg_Cost,asg_TaskUID,Tasks[[#This Row],[UID]],asg_Valid,1),0)</f>
        <v>0</v>
      </c>
      <c r="CP20" s="41" t="n">
        <f aca="false">IF(Tasks[[#This Row],[_LeafTotalCost]]=0,Tasks[[#This Row],[_LeafAC]],Tasks[[#This Row],[_LeafAC]]*Tasks[[#This Row],[_LeafCost]]/Tasks[[#This Row],[_LeafTotalCost]])</f>
        <v>0</v>
      </c>
      <c r="CQ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 s="41" t="n">
        <f aca="false">IF(NOT(Tasks[[#This Row],[_IsLeaf]]=1),0,MAX(_xlfn.MAXIFS(Tasks[_Row],Tasks[Pred1 UID],Tasks[[#This Row],[UID]]),_xlfn.MAXIFS(Tasks[_Row],Tasks[Pred2 UID],Tasks[[#This Row],[UID]]),_xlfn.MAXIFS(Tasks[_Row],Tasks[Pred3 UID],Tasks[[#This Row],[UID]]),_xlfn.MAXIFS(Tasks[_Row],Tasks[Pred4 UID],Tasks[[#This Row],[UID]])))</f>
        <v>0</v>
      </c>
      <c r="CZ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 s="101" t="str">
        <f aca="false">IF(NOT(Tasks[[#This Row],[_IsLeaf]]=1),"",IF(N(Tasks[[#This Row],[Duration]])&lt;=0,Tasks[[#This Row],[_LeafLateFinish]],WORKDAY.INTL(Tasks[[#This Row],[_LeafLateFinish]],-(Tasks[[#This Row],[Duration]]-1),WorkWeek,Holidays)))</f>
        <v/>
      </c>
      <c r="DC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 s="100" t="b">
        <f aca="false">AND(Tasks[[#This Row],[_IsLeaf]]=1,Tasks[[#This Row],[_LeafProgress]]&lt;1,N(Tasks[[#This Row],[_LeafTotalSlack]])&lt;=CriticalSlackDays)</f>
        <v>0</v>
      </c>
      <c r="DE20" s="41" t="n">
        <f aca="false">IF(AND(Tasks[[#This Row],[_IsLeaf]]=1,Tasks[[#This Row],[_ConstraintCode]]=1,Tasks[[#This Row],[Mode]]&lt;&gt;"Manual",N(Tasks[[#This Row],[Actual Start]])=0),MAX(0,N(Tasks[[#This Row],[Free Slack]])),0)</f>
        <v>0</v>
      </c>
      <c r="DF20" s="101" t="str">
        <f aca="false">IF(NOT(Tasks[[#This Row],[_IsLeaf]]=1),"",IF(Tasks[[#This Row],[_AlapShift]]=0,Tasks[[#This Row],[_LeafCalcStart]],WORKDAY.INTL(Tasks[[#This Row],[_LeafCalcStart]],Tasks[[#This Row],[_AlapShift]],WorkWeek,Holidays)))</f>
        <v/>
      </c>
      <c r="DG20" s="101" t="str">
        <f aca="false">IF(NOT(Tasks[[#This Row],[_IsLeaf]]=1),"",IF(Tasks[[#This Row],[_AlapShift]]=0,Tasks[[#This Row],[_LeafCalcFinish]],WORKDAY.INTL(Tasks[[#This Row],[_LeafCalcFinish]],Tasks[[#This Row],[_AlapShift]],WorkWeek,Holidays)))</f>
        <v/>
      </c>
      <c r="DH20" s="101" t="str">
        <f aca="false">IF(NOT(Tasks[[#This Row],[_IsLeaf]]=1),"",IF(Tasks[[#This Row],[_AlapShift]]=0,Tasks[[#This Row],[_LeafFcstStart]],WORKDAY.INTL(Tasks[[#This Row],[_LeafFcstStart]],Tasks[[#This Row],[_AlapShift]],WorkWeek,Holidays)))</f>
        <v/>
      </c>
      <c r="DI20" s="101" t="str">
        <f aca="false">IF(NOT(Tasks[[#This Row],[_IsLeaf]]=1),"",IF(Tasks[[#This Row],[_AlapShift]]=0,Tasks[[#This Row],[_LeafFcstFinish]],WORKDAY.INTL(Tasks[[#This Row],[_LeafFcstFinish]],Tasks[[#This Row],[_AlapShift]],WorkWeek,Holidays)))</f>
        <v/>
      </c>
      <c r="DJ20" s="101" t="str">
        <f aca="false">IF(Tasks[[#This Row],[Task Name]]="","",IF(Tasks[[#This Row],[_IsSummary]],MIN(INDEX(Tasks[_ShownCalcStart],Tasks[[#This Row],[_Row]]+1):INDEX(Tasks[_ShownCalcStart],Tasks[[#This Row],[_Row]]+Tasks[[#This Row],[_Descendants]])),Tasks[[#This Row],[_ShownCalcStart]]))</f>
        <v/>
      </c>
      <c r="DK20" s="101" t="str">
        <f aca="false">IF(Tasks[[#This Row],[Task Name]]="","",IF(Tasks[[#This Row],[_IsSummary]],MAX(INDEX(Tasks[_ShownCalcFinish],Tasks[[#This Row],[_Row]]+1):INDEX(Tasks[_ShownCalcFinish],Tasks[[#This Row],[_Row]]+Tasks[[#This Row],[_Descendants]])),Tasks[[#This Row],[_ShownCalcFinish]]))</f>
        <v/>
      </c>
      <c r="D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 s="41" t="n">
        <f aca="false">IF(AND(Tasks[[#This Row],[_IsLeaf]]=1,Tasks[[#This Row],[_LeafTotalWork]]&gt;0),NETWORKDAYS.INTL(ProjectStart,Tasks[[#This Row],[_ShownFcstStart]],WorkWeek,Holidays),0)</f>
        <v>0</v>
      </c>
      <c r="DY20" s="41" t="n">
        <f aca="false">IF(AND(Tasks[[#This Row],[_IsLeaf]]=1,Tasks[[#This Row],[_LeafTotalWork]]&gt;0),MAX(Tasks[[#This Row],[_StartWorkday]],NETWORKDAYS.INTL(ProjectStart,Tasks[[#This Row],[_ShownFcstFinish]],WorkWeek,Holidays)),0)</f>
        <v>0</v>
      </c>
      <c r="DZ20" s="41" t="n">
        <f aca="false">IF(AND(Tasks[[#This Row],[_IsLeaf]]=1,Tasks[[#This Row],[_LeafTotalWork]]&gt;0),Tasks[[#This Row],[_LeafWork]]/(Tasks[[#This Row],[_FinishWorkday]]-Tasks[[#This Row],[_StartWorkday]]+1),0)</f>
        <v>0</v>
      </c>
      <c r="EA20" s="41" t="n">
        <f aca="false">Tasks[[#This Row],[_WorkPerWorkday]]*(Tasks[[#This Row],[_StartWorkday]]-1)</f>
        <v>-0</v>
      </c>
      <c r="EB20" s="41" t="n">
        <f aca="false">IF(Tasks[[#This Row],[_IsLeaf]]=1,MAX(N(Tasks[[#This Row],[Duration]]),0.1),0)</f>
        <v>0</v>
      </c>
      <c r="EC20" s="41" t="n">
        <f aca="false">Tasks[[#This Row],[_WeightDur]]*Tasks[[#This Row],[_LeafProgress]]</f>
        <v>0</v>
      </c>
      <c r="ED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 s="41" t="str">
        <f aca="false">IF(AND(Tasks[[#This Row],[_IsLeaf]]=1,N(Tasks[[#This Row],[Duration]])=0,Tasks[[#This Row],[_LeafProgress]]&lt;1),Tasks[[#This Row],[_ShownFcstFinish]]+Tasks[[#This Row],[_Row]]/100000,"")</f>
        <v/>
      </c>
      <c r="EF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 s="41" t="n">
        <f aca="false">IF(NOT(Tasks[[#This Row],[_IsLeaf]]=1),0,IF(Tasks[[#This Row],[Baseline Cost]]="",Tasks[[#This Row],[_LeafTotalCost]],N(Tasks[[#This Row],[Baseline Cost]])))</f>
        <v>0</v>
      </c>
      <c r="EH20" s="41" t="n">
        <f aca="false">Tasks[[#This Row],[_LeafBudget]]*Tasks[[#This Row],[_PlannedPct]]</f>
        <v>0</v>
      </c>
      <c r="EI20" s="41" t="n">
        <f aca="false">Tasks[[#This Row],[_LeafBudget]]*Tasks[[#This Row],[_LeafProgress]]</f>
        <v>0</v>
      </c>
      <c r="EJ20" s="41" t="n">
        <f aca="false">IF(NOT(Tasks[[#This Row],[_IsLeaf]]=1),0,IF(Tasks[[#This Row],[Actual Cost]]="",Tasks[[#This Row],[_LeafTotalCost]]*Tasks[[#This Row],[_LeafProgress]],N(Tasks[[#This Row],[Actual Cost]])))</f>
        <v>0</v>
      </c>
      <c r="EK20" s="41" t="str">
        <f aca="false">IF(Tasks[[#This Row],[Task Name]]="","",LEFT(Tasks[[#This Row],[WBS]],FIND(".",Tasks[[#This Row],[WBS]]&amp;".")-1))</f>
        <v/>
      </c>
      <c r="EL20" s="41" t="str">
        <f aca="false">IF(AND(Tasks[[#This Row],[Task Name]]&lt;&gt;"",Tasks[[#This Row],[_Level]]=1),Tasks[[#This Row],[_Row]],"")</f>
        <v/>
      </c>
      <c r="EM20" s="41" t="str">
        <f aca="false">IF(AND(Tasks[[#This Row],[_IsLeaf]]=1,N(Tasks[[#This Row],[Duration]])=0),Tasks[[#This Row],[Planned Finish]]+Tasks[[#This Row],[_Row]]/100000,"")</f>
        <v/>
      </c>
      <c r="EN20" s="41" t="str">
        <f aca="false">IF(AND(Tasks[[#This Row],[_IsLeaf]]=1,Tasks[[#This Row],[_LeafProgress]]&lt;1,OR(N(Tasks[[#This Row],[Finish Var]])&gt;0,Tasks[[#This Row],[Status]]="Late Start")),MAX(0,Tasks[[#This Row],[Finish Var]])+1-Tasks[[#This Row],[_Row]]/1000000,"")</f>
        <v/>
      </c>
      <c r="EO20" s="41" t="str">
        <f aca="false">IF(AND(Tasks[[#This Row],[_IsLeaf]]=1,N(Tasks[[#This Row],[Actual Start]])=0,Tasks[[#This Row],[_ShownFcstStart]]&gt;=StatusDate,Tasks[[#This Row],[_ShownFcstStart]]&lt;=LookaheadEnd),Tasks[[#This Row],[_ShownFcstStart]]+Tasks[[#This Row],[_Row]]/100000,"")</f>
        <v/>
      </c>
      <c r="EP20" s="41" t="str">
        <f aca="false">IF(AND(Tasks[[#This Row],[_IsLeaf]]=1,Tasks[[#This Row],[_LeafProgress]]&lt;1,Tasks[[#This Row],[_ShownFcstFinish]]&gt;=StatusDate,Tasks[[#This Row],[_ShownFcstFinish]]&lt;=LookaheadEnd),Tasks[[#This Row],[_ShownFcstFinish]]+Tasks[[#This Row],[_Row]]/100000,"")</f>
        <v/>
      </c>
      <c r="EQ20" s="41" t="str">
        <f aca="false">IF(Tasks[[#This Row],[_LeafCritical]],Tasks[[#This Row],[_ShownFcstStart]]+Tasks[[#This Row],[_Row]]/100000,"")</f>
        <v/>
      </c>
      <c r="ER20" s="41" t="n">
        <f aca="false">Tasks[[#This Row],[_LeafWork]]*Tasks[[#This Row],[_LeafProgress]]</f>
        <v>0</v>
      </c>
      <c r="ES20" s="101" t="str">
        <f aca="false">IF(AND(Tasks[[#This Row],[_IsLeaf]]=1,Tasks[[#This Row],[_LeafProgress]]&gt;=1),IF(N(Tasks[[#This Row],[Actual Finish]])&gt;0,Tasks[[#This Row],[Actual Finish]],Tasks[[#This Row],[_ShownFcstFinish]]),"")</f>
        <v/>
      </c>
      <c r="ET20" s="41" t="n">
        <f aca="false">IF(Tasks[[#This Row],[_IsLeaf]]=1,N(Tasks[[#This Row],[Story Points]]),0)</f>
        <v>0</v>
      </c>
      <c r="EU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29"/>
      <c r="O21" s="29"/>
      <c r="P21" s="29"/>
      <c r="Q21" s="29"/>
      <c r="R21" s="29"/>
      <c r="S21" s="29"/>
      <c r="T21" s="30"/>
      <c r="U21" s="75"/>
      <c r="V21" s="75"/>
      <c r="W21" s="25" t="str">
        <f aca="false">IF(Tasks[[#This Row],[Task Name]]="","",IF(N(Tasks[[#This Row],[Baseline Start]])&gt;0,Tasks[[#This Row],[Baseline Start]],Tasks[[#This Row],[_CalcStart]]))</f>
        <v/>
      </c>
      <c r="X21" s="25" t="str">
        <f aca="false">IF(Tasks[[#This Row],[Task Name]]="","",IF(N(Tasks[[#This Row],[Baseline Finish]])&gt;0,Tasks[[#This Row],[Baseline Finish]],Tasks[[#This Row],[_CalcFinish]]))</f>
        <v/>
      </c>
      <c r="Y21" s="75"/>
      <c r="Z21" s="75"/>
      <c r="AA21" s="25" t="str">
        <f aca="false">IF(Tasks[[#This Row],[Task Name]]="","",IF(Tasks[[#This Row],[_IsSummary]],MIN(INDEX(Tasks[_ShownFcstStart],Tasks[[#This Row],[_Row]]+1):INDEX(Tasks[_ShownFcstStart],Tasks[[#This Row],[_Row]]+Tasks[[#This Row],[_Descendants]])),Tasks[[#This Row],[_ShownFcstStart]]))</f>
        <v/>
      </c>
      <c r="AB21" s="25" t="str">
        <f aca="false">IF(Tasks[[#This Row],[Task Name]]="","",IF(Tasks[[#This Row],[_IsSummary]],MAX(INDEX(Tasks[_ShownFcstFinish],Tasks[[#This Row],[_Row]]+1):INDEX(Tasks[_ShownFcstFinish],Tasks[[#This Row],[_Row]]+Tasks[[#This Row],[_Descendants]])),Tasks[[#This Row],[_ShownFcstFinish]]))</f>
        <v/>
      </c>
      <c r="AC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1" s="25" t="str">
        <f aca="false">IF(Tasks[[#This Row],[Task Name]]="","",IF(Tasks[[#This Row],[_IsSummary]],MIN(INDEX(Tasks[_LeafLateStart],Tasks[[#This Row],[_Row]]+1):INDEX(Tasks[_LeafLateStart],Tasks[[#This Row],[_Row]]+Tasks[[#This Row],[_Descendants]])),Tasks[[#This Row],[_LeafLateStart]]))</f>
        <v/>
      </c>
      <c r="AF21" s="25" t="str">
        <f aca="false">IF(Tasks[[#This Row],[Task Name]]="","",IF(Tasks[[#This Row],[_IsSummary]],MAX(INDEX(Tasks[_LeafLateFinish],Tasks[[#This Row],[_Row]]+1):INDEX(Tasks[_LeafLateFinish],Tasks[[#This Row],[_Row]]+Tasks[[#This Row],[_Descendants]])),Tasks[[#This Row],[_LeafLateFinish]]))</f>
        <v/>
      </c>
      <c r="AG21" s="28" t="str">
        <f aca="false">IF(Tasks[[#This Row],[Task Name]]="","",IF(Tasks[[#This Row],[_IsSummary]],MIN(INDEX(Tasks[_LeafTotalSlack],Tasks[[#This Row],[_Row]]+1):INDEX(Tasks[_LeafTotalSlack],Tasks[[#This Row],[_Row]]+Tasks[[#This Row],[_Descendants]])),Tasks[[#This Row],[_LeafTotalSlack]]))</f>
        <v/>
      </c>
      <c r="AH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1" s="28" t="str">
        <f aca="false">IF(Tasks[[#This Row],[Task Name]]="","",IF(IF(Tasks[[#This Row],[_IsSummary]],COUNTIF(INDEX(Tasks[_LeafCritical],Tasks[[#This Row],[_Row]]+1):INDEX(Tasks[_LeafCritical],Tasks[[#This Row],[_Row]]+Tasks[[#This Row],[_Descendants]]),TRUE())&gt;0,Tasks[[#This Row],[_LeafCritical]]),"Yes",""))</f>
        <v/>
      </c>
      <c r="AJ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1" s="89"/>
      <c r="AM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1" s="28" t="str">
        <f aca="false">IF(Tasks[[#This Row],[Task Name]]="","",IF(Tasks[[#This Row],[Progress]]&gt;=1,"Complete",IF(OR(N(Tasks[[#This Row],[Actual Start]])&gt;0,Tasks[[#This Row],[Progress]]&gt;0),IF(Tasks[[#This Row],[Finish Var]]&gt;0,"Behind","In Progress"),IF(Tasks[[#This Row],[Planned Start]]&lt;StatusDate,"Late Start","Not Started"))))</f>
        <v/>
      </c>
      <c r="AO21" s="30"/>
      <c r="AP21" s="89"/>
      <c r="AQ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1" s="96" t="str">
        <f aca="false">IF(Tasks[[#This Row],[Task Name]]="","",IF(Tasks[[#This Row],[_IsSummary]],SUM(INDEX(Tasks[_LeafTotalWork],Tasks[[#This Row],[_Row]]+1):INDEX(Tasks[_LeafTotalWork],Tasks[[#This Row],[_Row]]+Tasks[[#This Row],[_Descendants]])),Tasks[[#This Row],[_LeafTotalWork]]))</f>
        <v/>
      </c>
      <c r="AT21" s="97" t="str">
        <f aca="false">IF(Tasks[[#This Row],[Task Name]]="","",IF(Tasks[[#This Row],[_IsSummary]],SUM(INDEX(Tasks[_LeafTotalCost],Tasks[[#This Row],[_Row]]+1):INDEX(Tasks[_LeafTotalCost],Tasks[[#This Row],[_Row]]+Tasks[[#This Row],[_Descendants]])),Tasks[[#This Row],[_LeafTotalCost]]))</f>
        <v/>
      </c>
      <c r="AU21" s="98"/>
      <c r="AV21" s="29"/>
      <c r="AW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1" s="83"/>
      <c r="AY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1" s="30"/>
      <c r="BA21" s="25" t="str">
        <f aca="false">IF(Tasks[[#This Row],[Task Name]]="","",Tasks[[#This Row],[Forecast Start]])</f>
        <v/>
      </c>
      <c r="BB21" s="25" t="str">
        <f aca="false">IF(Tasks[[#This Row],[Task Name]]="","",Tasks[[#This Row],[Forecast Finish]])</f>
        <v/>
      </c>
      <c r="BC21" s="28" t="str">
        <f aca="false">IF(Tasks[[#This Row],[Task Name]]="","",IF(Tasks[[#This Row],[_IsSummary]],NETWORKDAYS.INTL(Tasks[[#This Row],[Forecast Start]],Tasks[[#This Row],[Forecast Finish]],WorkWeek,Holidays),N(Tasks[[#This Row],[Duration]])))</f>
        <v/>
      </c>
      <c r="BD21" s="96" t="str">
        <f aca="false">IF(Tasks[[#This Row],[Task Name]]="","",Tasks[[#This Row],[Work]])</f>
        <v/>
      </c>
      <c r="BE21" s="97" t="str">
        <f aca="false">IF(Tasks[[#This Row],[Task Name]]="","",Tasks[[#This Row],[Cost]])</f>
        <v/>
      </c>
      <c r="BF21" s="75"/>
      <c r="BG21" s="75"/>
      <c r="BH21" s="29"/>
      <c r="BI21" s="99"/>
      <c r="BJ21" s="98"/>
      <c r="BK21" s="28" t="str">
        <f aca="false">IF(OR(Tasks[[#This Row],[Task Name]]="",Tasks[[#This Row],[Baseline Duration]]=""),"",Tasks[[#This Row],[BL Source Duration]]-N(Tasks[[#This Row],[Baseline Duration]]))</f>
        <v/>
      </c>
      <c r="BL21" s="96" t="str">
        <f aca="false">IF(OR(Tasks[[#This Row],[Task Name]]="",Tasks[[#This Row],[Baseline Work]]=""),"",Tasks[[#This Row],[Work]]-N(Tasks[[#This Row],[Baseline Work]]))</f>
        <v/>
      </c>
      <c r="BM21" s="97" t="str">
        <f aca="false">IF(OR(Tasks[[#This Row],[Task Name]]="",Tasks[[#This Row],[Baseline Cost]]=""),"",Tasks[[#This Row],[Cost]]-N(Tasks[[#This Row],[Baseline Cost]]))</f>
        <v/>
      </c>
      <c r="BN21" s="97" t="str">
        <f aca="false">IF(Tasks[[#This Row],[Task Name]]="","",IF(Tasks[[#This Row],[_IsSummary]],SUM(INDEX(Tasks[_LeafBudget],Tasks[[#This Row],[_Row]]+1):INDEX(Tasks[_LeafBudget],Tasks[[#This Row],[_Row]]+Tasks[[#This Row],[_Descendants]])),Tasks[[#This Row],[_LeafBudget]]))</f>
        <v/>
      </c>
      <c r="BO21" s="97" t="str">
        <f aca="false">IF(Tasks[[#This Row],[Task Name]]="","",IF(Tasks[[#This Row],[_IsSummary]],SUM(INDEX(Tasks[_LeafPV],Tasks[[#This Row],[_Row]]+1):INDEX(Tasks[_LeafPV],Tasks[[#This Row],[_Row]]+Tasks[[#This Row],[_Descendants]])),Tasks[[#This Row],[_LeafPV]]))</f>
        <v/>
      </c>
      <c r="BP21" s="97" t="str">
        <f aca="false">IF(Tasks[[#This Row],[Task Name]]="","",IF(Tasks[[#This Row],[_IsSummary]],SUM(INDEX(Tasks[_LeafEV],Tasks[[#This Row],[_Row]]+1):INDEX(Tasks[_LeafEV],Tasks[[#This Row],[_Row]]+Tasks[[#This Row],[_Descendants]])),Tasks[[#This Row],[_LeafEV]]))</f>
        <v/>
      </c>
      <c r="BQ21" s="97" t="str">
        <f aca="false">IF(Tasks[[#This Row],[Task Name]]="","",IF(Tasks[[#This Row],[_IsSummary]],SUM(INDEX(Tasks[_LeafAC],Tasks[[#This Row],[_Row]]+1):INDEX(Tasks[_LeafAC],Tasks[[#This Row],[_Row]]+Tasks[[#This Row],[_Descendants]])),Tasks[[#This Row],[_LeafAC]]))</f>
        <v/>
      </c>
      <c r="BR21" s="41" t="str">
        <f aca="false">IF(Tasks[[#This Row],[Task Name]]="","",MAX(1,N(Tasks[[#This Row],[Level]])))</f>
        <v/>
      </c>
      <c r="BS21" s="41" t="n">
        <f aca="false">ROW()-ROW(Tasks[[#Headers],[ID]])</f>
        <v>16</v>
      </c>
      <c r="BT21" s="41" t="n">
        <f aca="false">IF(OR(Tasks[[#This Row],[Task Name]]="",Tasks[[#This Row],[_Level]]&lt;=1),0,IFERROR(LOOKUP(2,1/(Tasks[[#Headers],[_Level]]:Tasks[[#This Row],[_Level]]=Tasks[[#This Row],[_Level]]-1),ROW(Tasks[[#Headers],[_Level]]:Tasks[[#This Row],[_Level]])),0))</f>
        <v>0</v>
      </c>
      <c r="BU21" s="41" t="n">
        <f aca="false">IFERROR(N(INDEX(Tasks[_Level],Tasks[[#This Row],[_Row]]+1)),0)</f>
        <v>0</v>
      </c>
      <c r="BV21" s="100" t="b">
        <f aca="false">AND(Tasks[[#This Row],[Task Name]]&lt;&gt;"",Tasks[[#This Row],[_NextLevel]]&gt;Tasks[[#This Row],[_Level]])</f>
        <v>0</v>
      </c>
      <c r="BW21" s="41" t="n">
        <f aca="false">IF(Tasks[[#This Row],[_IsSummary]],COUNTIF(Tasks[WBS],Tasks[[#This Row],[WBS]]&amp;".*"),0)</f>
        <v>0</v>
      </c>
      <c r="BX21" s="41" t="n">
        <f aca="false">IF(AND(Tasks[[#This Row],[Task Name]]&lt;&gt;"",NOT(Tasks[[#This Row],[_IsSummary]])),1,0)</f>
        <v>0</v>
      </c>
      <c r="BY21" s="41" t="n">
        <f aca="false">IF(N(Tasks[[#This Row],[Pred1 UID]])=0,0,IFERROR(MATCH(Tasks[[#This Row],[Pred1 UID]],Tasks[UID],0),-1))</f>
        <v>0</v>
      </c>
      <c r="BZ21" s="41" t="n">
        <f aca="false">IF(N(Tasks[[#This Row],[Pred2 UID]])=0,0,IFERROR(MATCH(Tasks[[#This Row],[Pred2 UID]],Tasks[UID],0),-1))</f>
        <v>0</v>
      </c>
      <c r="CA21" s="41" t="n">
        <f aca="false">IF(N(Tasks[[#This Row],[Pred3 UID]])=0,0,IFERROR(MATCH(Tasks[[#This Row],[Pred3 UID]],Tasks[UID],0),-1))</f>
        <v>0</v>
      </c>
      <c r="CB21" s="41" t="n">
        <f aca="false">IF(N(Tasks[[#This Row],[Pred4 UID]])=0,0,IFERROR(MATCH(Tasks[[#This Row],[Pred4 UID]],Tasks[UID],0),-1))</f>
        <v>0</v>
      </c>
      <c r="CC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1" s="101" t="n">
        <f aca="false">IF(OR(Tasks[[#This Row],[_ConstraintCode]]=2,Tasks[[#This Row],[_ConstraintCode]]=3,Tasks[[#This Row],[_ConstraintCode]]=4,Tasks[[#This Row],[_ConstraintCode]]=6),Tasks[[#This Row],[_ConstraintStart]],0)</f>
        <v>0</v>
      </c>
      <c r="CF21" s="101" t="n">
        <f aca="false">IF(OR(Tasks[[#This Row],[_ConstraintCode]]=2,Tasks[[#This Row],[_ConstraintCode]]=3,Tasks[[#This Row],[_ConstraintCode]]=5,Tasks[[#This Row],[_ConstraintCode]]=7),Tasks[[#This Row],[_ConstraintStart]],2958465)</f>
        <v>2958465</v>
      </c>
      <c r="CG2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1" s="101" t="str">
        <f aca="false">IF(NOT(Tasks[[#This Row],[_IsLeaf]]=1),"",IF(N(Tasks[[#This Row],[Duration]])&lt;=0,Tasks[[#This Row],[_LeafCalcStart]],WORKDAY.INTL(Tasks[[#This Row],[_LeafCalcStart]],Tasks[[#This Row],[Duration]]-1,WorkWeek,Holidays)))</f>
        <v/>
      </c>
      <c r="CI2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1" s="41" t="n">
        <f aca="false">IF(NOT(Tasks[[#This Row],[_IsLeaf]]=1),0,IF(N(Tasks[[#This Row],[Actual Finish]])&gt;0,1,MIN(1,N(Tasks[[#This Row],[% Complete]]))))</f>
        <v>0</v>
      </c>
      <c r="CL21" s="41" t="n">
        <f aca="false">IF(OR(NOT(Tasks[[#This Row],[_IsLeaf]]=1),Tasks[[#This Row],[Resource]]=""),0,N(Tasks[[#This Row],[Duration]])*HoursPerDay*IF(Tasks[[#This Row],[Units]]="",DefaultUnits,Tasks[[#This Row],[Units]]))</f>
        <v>0</v>
      </c>
      <c r="CM21" s="41" t="n">
        <f aca="false">IF(Tasks[[#This Row],[_LeafWork]]=0,0,Tasks[[#This Row],[_LeafWork]]*IFERROR(INDEX(res_Rate,MATCH(Tasks[[#This Row],[Resource]],res_Name,0)),0))</f>
        <v>0</v>
      </c>
      <c r="CN21" s="41" t="n">
        <f aca="false">Tasks[[#This Row],[_LeafWork]]+IF(Tasks[[#This Row],[_IsLeaf]]=1,SUMIFS(asg_Work,asg_TaskUID,Tasks[[#This Row],[UID]],asg_Valid,1),0)</f>
        <v>0</v>
      </c>
      <c r="CO21" s="41" t="n">
        <f aca="false">Tasks[[#This Row],[_LeafCost]]+IF(Tasks[[#This Row],[_IsLeaf]]=1,SUMIFS(asg_Cost,asg_TaskUID,Tasks[[#This Row],[UID]],asg_Valid,1),0)</f>
        <v>0</v>
      </c>
      <c r="CP21" s="41" t="n">
        <f aca="false">IF(Tasks[[#This Row],[_LeafTotalCost]]=0,Tasks[[#This Row],[_LeafAC]],Tasks[[#This Row],[_LeafAC]]*Tasks[[#This Row],[_LeafCost]]/Tasks[[#This Row],[_LeafTotalCost]])</f>
        <v>0</v>
      </c>
      <c r="CQ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1" s="41" t="n">
        <f aca="false">IF(NOT(Tasks[[#This Row],[_IsLeaf]]=1),0,MAX(_xlfn.MAXIFS(Tasks[_Row],Tasks[Pred1 UID],Tasks[[#This Row],[UID]]),_xlfn.MAXIFS(Tasks[_Row],Tasks[Pred2 UID],Tasks[[#This Row],[UID]]),_xlfn.MAXIFS(Tasks[_Row],Tasks[Pred3 UID],Tasks[[#This Row],[UID]]),_xlfn.MAXIFS(Tasks[_Row],Tasks[Pred4 UID],Tasks[[#This Row],[UID]])))</f>
        <v>0</v>
      </c>
      <c r="CZ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1" s="101" t="str">
        <f aca="false">IF(NOT(Tasks[[#This Row],[_IsLeaf]]=1),"",IF(N(Tasks[[#This Row],[Duration]])&lt;=0,Tasks[[#This Row],[_LeafLateFinish]],WORKDAY.INTL(Tasks[[#This Row],[_LeafLateFinish]],-(Tasks[[#This Row],[Duration]]-1),WorkWeek,Holidays)))</f>
        <v/>
      </c>
      <c r="DC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1" s="100" t="b">
        <f aca="false">AND(Tasks[[#This Row],[_IsLeaf]]=1,Tasks[[#This Row],[_LeafProgress]]&lt;1,N(Tasks[[#This Row],[_LeafTotalSlack]])&lt;=CriticalSlackDays)</f>
        <v>0</v>
      </c>
      <c r="DE21" s="41" t="n">
        <f aca="false">IF(AND(Tasks[[#This Row],[_IsLeaf]]=1,Tasks[[#This Row],[_ConstraintCode]]=1,Tasks[[#This Row],[Mode]]&lt;&gt;"Manual",N(Tasks[[#This Row],[Actual Start]])=0),MAX(0,N(Tasks[[#This Row],[Free Slack]])),0)</f>
        <v>0</v>
      </c>
      <c r="DF21" s="101" t="str">
        <f aca="false">IF(NOT(Tasks[[#This Row],[_IsLeaf]]=1),"",IF(Tasks[[#This Row],[_AlapShift]]=0,Tasks[[#This Row],[_LeafCalcStart]],WORKDAY.INTL(Tasks[[#This Row],[_LeafCalcStart]],Tasks[[#This Row],[_AlapShift]],WorkWeek,Holidays)))</f>
        <v/>
      </c>
      <c r="DG21" s="101" t="str">
        <f aca="false">IF(NOT(Tasks[[#This Row],[_IsLeaf]]=1),"",IF(Tasks[[#This Row],[_AlapShift]]=0,Tasks[[#This Row],[_LeafCalcFinish]],WORKDAY.INTL(Tasks[[#This Row],[_LeafCalcFinish]],Tasks[[#This Row],[_AlapShift]],WorkWeek,Holidays)))</f>
        <v/>
      </c>
      <c r="DH21" s="101" t="str">
        <f aca="false">IF(NOT(Tasks[[#This Row],[_IsLeaf]]=1),"",IF(Tasks[[#This Row],[_AlapShift]]=0,Tasks[[#This Row],[_LeafFcstStart]],WORKDAY.INTL(Tasks[[#This Row],[_LeafFcstStart]],Tasks[[#This Row],[_AlapShift]],WorkWeek,Holidays)))</f>
        <v/>
      </c>
      <c r="DI21" s="101" t="str">
        <f aca="false">IF(NOT(Tasks[[#This Row],[_IsLeaf]]=1),"",IF(Tasks[[#This Row],[_AlapShift]]=0,Tasks[[#This Row],[_LeafFcstFinish]],WORKDAY.INTL(Tasks[[#This Row],[_LeafFcstFinish]],Tasks[[#This Row],[_AlapShift]],WorkWeek,Holidays)))</f>
        <v/>
      </c>
      <c r="DJ21" s="101" t="str">
        <f aca="false">IF(Tasks[[#This Row],[Task Name]]="","",IF(Tasks[[#This Row],[_IsSummary]],MIN(INDEX(Tasks[_ShownCalcStart],Tasks[[#This Row],[_Row]]+1):INDEX(Tasks[_ShownCalcStart],Tasks[[#This Row],[_Row]]+Tasks[[#This Row],[_Descendants]])),Tasks[[#This Row],[_ShownCalcStart]]))</f>
        <v/>
      </c>
      <c r="DK21" s="101" t="str">
        <f aca="false">IF(Tasks[[#This Row],[Task Name]]="","",IF(Tasks[[#This Row],[_IsSummary]],MAX(INDEX(Tasks[_ShownCalcFinish],Tasks[[#This Row],[_Row]]+1):INDEX(Tasks[_ShownCalcFinish],Tasks[[#This Row],[_Row]]+Tasks[[#This Row],[_Descendants]])),Tasks[[#This Row],[_ShownCalcFinish]]))</f>
        <v/>
      </c>
      <c r="D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1" s="41" t="n">
        <f aca="false">IF(AND(Tasks[[#This Row],[_IsLeaf]]=1,Tasks[[#This Row],[_LeafTotalWork]]&gt;0),NETWORKDAYS.INTL(ProjectStart,Tasks[[#This Row],[_ShownFcstStart]],WorkWeek,Holidays),0)</f>
        <v>0</v>
      </c>
      <c r="DY21" s="41" t="n">
        <f aca="false">IF(AND(Tasks[[#This Row],[_IsLeaf]]=1,Tasks[[#This Row],[_LeafTotalWork]]&gt;0),MAX(Tasks[[#This Row],[_StartWorkday]],NETWORKDAYS.INTL(ProjectStart,Tasks[[#This Row],[_ShownFcstFinish]],WorkWeek,Holidays)),0)</f>
        <v>0</v>
      </c>
      <c r="DZ21" s="41" t="n">
        <f aca="false">IF(AND(Tasks[[#This Row],[_IsLeaf]]=1,Tasks[[#This Row],[_LeafTotalWork]]&gt;0),Tasks[[#This Row],[_LeafWork]]/(Tasks[[#This Row],[_FinishWorkday]]-Tasks[[#This Row],[_StartWorkday]]+1),0)</f>
        <v>0</v>
      </c>
      <c r="EA21" s="41" t="n">
        <f aca="false">Tasks[[#This Row],[_WorkPerWorkday]]*(Tasks[[#This Row],[_StartWorkday]]-1)</f>
        <v>-0</v>
      </c>
      <c r="EB21" s="41" t="n">
        <f aca="false">IF(Tasks[[#This Row],[_IsLeaf]]=1,MAX(N(Tasks[[#This Row],[Duration]]),0.1),0)</f>
        <v>0</v>
      </c>
      <c r="EC21" s="41" t="n">
        <f aca="false">Tasks[[#This Row],[_WeightDur]]*Tasks[[#This Row],[_LeafProgress]]</f>
        <v>0</v>
      </c>
      <c r="ED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1" s="41" t="str">
        <f aca="false">IF(AND(Tasks[[#This Row],[_IsLeaf]]=1,N(Tasks[[#This Row],[Duration]])=0,Tasks[[#This Row],[_LeafProgress]]&lt;1),Tasks[[#This Row],[_ShownFcstFinish]]+Tasks[[#This Row],[_Row]]/100000,"")</f>
        <v/>
      </c>
      <c r="EF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1" s="41" t="n">
        <f aca="false">IF(NOT(Tasks[[#This Row],[_IsLeaf]]=1),0,IF(Tasks[[#This Row],[Baseline Cost]]="",Tasks[[#This Row],[_LeafTotalCost]],N(Tasks[[#This Row],[Baseline Cost]])))</f>
        <v>0</v>
      </c>
      <c r="EH21" s="41" t="n">
        <f aca="false">Tasks[[#This Row],[_LeafBudget]]*Tasks[[#This Row],[_PlannedPct]]</f>
        <v>0</v>
      </c>
      <c r="EI21" s="41" t="n">
        <f aca="false">Tasks[[#This Row],[_LeafBudget]]*Tasks[[#This Row],[_LeafProgress]]</f>
        <v>0</v>
      </c>
      <c r="EJ21" s="41" t="n">
        <f aca="false">IF(NOT(Tasks[[#This Row],[_IsLeaf]]=1),0,IF(Tasks[[#This Row],[Actual Cost]]="",Tasks[[#This Row],[_LeafTotalCost]]*Tasks[[#This Row],[_LeafProgress]],N(Tasks[[#This Row],[Actual Cost]])))</f>
        <v>0</v>
      </c>
      <c r="EK21" s="41" t="str">
        <f aca="false">IF(Tasks[[#This Row],[Task Name]]="","",LEFT(Tasks[[#This Row],[WBS]],FIND(".",Tasks[[#This Row],[WBS]]&amp;".")-1))</f>
        <v/>
      </c>
      <c r="EL21" s="41" t="str">
        <f aca="false">IF(AND(Tasks[[#This Row],[Task Name]]&lt;&gt;"",Tasks[[#This Row],[_Level]]=1),Tasks[[#This Row],[_Row]],"")</f>
        <v/>
      </c>
      <c r="EM21" s="41" t="str">
        <f aca="false">IF(AND(Tasks[[#This Row],[_IsLeaf]]=1,N(Tasks[[#This Row],[Duration]])=0),Tasks[[#This Row],[Planned Finish]]+Tasks[[#This Row],[_Row]]/100000,"")</f>
        <v/>
      </c>
      <c r="EN21" s="41" t="str">
        <f aca="false">IF(AND(Tasks[[#This Row],[_IsLeaf]]=1,Tasks[[#This Row],[_LeafProgress]]&lt;1,OR(N(Tasks[[#This Row],[Finish Var]])&gt;0,Tasks[[#This Row],[Status]]="Late Start")),MAX(0,Tasks[[#This Row],[Finish Var]])+1-Tasks[[#This Row],[_Row]]/1000000,"")</f>
        <v/>
      </c>
      <c r="EO21" s="41" t="str">
        <f aca="false">IF(AND(Tasks[[#This Row],[_IsLeaf]]=1,N(Tasks[[#This Row],[Actual Start]])=0,Tasks[[#This Row],[_ShownFcstStart]]&gt;=StatusDate,Tasks[[#This Row],[_ShownFcstStart]]&lt;=LookaheadEnd),Tasks[[#This Row],[_ShownFcstStart]]+Tasks[[#This Row],[_Row]]/100000,"")</f>
        <v/>
      </c>
      <c r="EP21" s="41" t="str">
        <f aca="false">IF(AND(Tasks[[#This Row],[_IsLeaf]]=1,Tasks[[#This Row],[_LeafProgress]]&lt;1,Tasks[[#This Row],[_ShownFcstFinish]]&gt;=StatusDate,Tasks[[#This Row],[_ShownFcstFinish]]&lt;=LookaheadEnd),Tasks[[#This Row],[_ShownFcstFinish]]+Tasks[[#This Row],[_Row]]/100000,"")</f>
        <v/>
      </c>
      <c r="EQ21" s="41" t="str">
        <f aca="false">IF(Tasks[[#This Row],[_LeafCritical]],Tasks[[#This Row],[_ShownFcstStart]]+Tasks[[#This Row],[_Row]]/100000,"")</f>
        <v/>
      </c>
      <c r="ER21" s="41" t="n">
        <f aca="false">Tasks[[#This Row],[_LeafWork]]*Tasks[[#This Row],[_LeafProgress]]</f>
        <v>0</v>
      </c>
      <c r="ES21" s="101" t="str">
        <f aca="false">IF(AND(Tasks[[#This Row],[_IsLeaf]]=1,Tasks[[#This Row],[_LeafProgress]]&gt;=1),IF(N(Tasks[[#This Row],[Actual Finish]])&gt;0,Tasks[[#This Row],[Actual Finish]],Tasks[[#This Row],[_ShownFcstFinish]]),"")</f>
        <v/>
      </c>
      <c r="ET21" s="41" t="n">
        <f aca="false">IF(Tasks[[#This Row],[_IsLeaf]]=1,N(Tasks[[#This Row],[Story Points]]),0)</f>
        <v>0</v>
      </c>
      <c r="EU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29"/>
      <c r="O22" s="29"/>
      <c r="P22" s="29"/>
      <c r="Q22" s="29"/>
      <c r="R22" s="29"/>
      <c r="S22" s="29"/>
      <c r="T22" s="30"/>
      <c r="U22" s="75"/>
      <c r="V22" s="75"/>
      <c r="W22" s="25" t="str">
        <f aca="false">IF(Tasks[[#This Row],[Task Name]]="","",IF(N(Tasks[[#This Row],[Baseline Start]])&gt;0,Tasks[[#This Row],[Baseline Start]],Tasks[[#This Row],[_CalcStart]]))</f>
        <v/>
      </c>
      <c r="X22" s="25" t="str">
        <f aca="false">IF(Tasks[[#This Row],[Task Name]]="","",IF(N(Tasks[[#This Row],[Baseline Finish]])&gt;0,Tasks[[#This Row],[Baseline Finish]],Tasks[[#This Row],[_CalcFinish]]))</f>
        <v/>
      </c>
      <c r="Y22" s="75"/>
      <c r="Z22" s="75"/>
      <c r="AA22" s="25" t="str">
        <f aca="false">IF(Tasks[[#This Row],[Task Name]]="","",IF(Tasks[[#This Row],[_IsSummary]],MIN(INDEX(Tasks[_ShownFcstStart],Tasks[[#This Row],[_Row]]+1):INDEX(Tasks[_ShownFcstStart],Tasks[[#This Row],[_Row]]+Tasks[[#This Row],[_Descendants]])),Tasks[[#This Row],[_ShownFcstStart]]))</f>
        <v/>
      </c>
      <c r="AB22" s="25" t="str">
        <f aca="false">IF(Tasks[[#This Row],[Task Name]]="","",IF(Tasks[[#This Row],[_IsSummary]],MAX(INDEX(Tasks[_ShownFcstFinish],Tasks[[#This Row],[_Row]]+1):INDEX(Tasks[_ShownFcstFinish],Tasks[[#This Row],[_Row]]+Tasks[[#This Row],[_Descendants]])),Tasks[[#This Row],[_ShownFcstFinish]]))</f>
        <v/>
      </c>
      <c r="AC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2" s="25" t="str">
        <f aca="false">IF(Tasks[[#This Row],[Task Name]]="","",IF(Tasks[[#This Row],[_IsSummary]],MIN(INDEX(Tasks[_LeafLateStart],Tasks[[#This Row],[_Row]]+1):INDEX(Tasks[_LeafLateStart],Tasks[[#This Row],[_Row]]+Tasks[[#This Row],[_Descendants]])),Tasks[[#This Row],[_LeafLateStart]]))</f>
        <v/>
      </c>
      <c r="AF22" s="25" t="str">
        <f aca="false">IF(Tasks[[#This Row],[Task Name]]="","",IF(Tasks[[#This Row],[_IsSummary]],MAX(INDEX(Tasks[_LeafLateFinish],Tasks[[#This Row],[_Row]]+1):INDEX(Tasks[_LeafLateFinish],Tasks[[#This Row],[_Row]]+Tasks[[#This Row],[_Descendants]])),Tasks[[#This Row],[_LeafLateFinish]]))</f>
        <v/>
      </c>
      <c r="AG22" s="28" t="str">
        <f aca="false">IF(Tasks[[#This Row],[Task Name]]="","",IF(Tasks[[#This Row],[_IsSummary]],MIN(INDEX(Tasks[_LeafTotalSlack],Tasks[[#This Row],[_Row]]+1):INDEX(Tasks[_LeafTotalSlack],Tasks[[#This Row],[_Row]]+Tasks[[#This Row],[_Descendants]])),Tasks[[#This Row],[_LeafTotalSlack]]))</f>
        <v/>
      </c>
      <c r="AH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2" s="28" t="str">
        <f aca="false">IF(Tasks[[#This Row],[Task Name]]="","",IF(IF(Tasks[[#This Row],[_IsSummary]],COUNTIF(INDEX(Tasks[_LeafCritical],Tasks[[#This Row],[_Row]]+1):INDEX(Tasks[_LeafCritical],Tasks[[#This Row],[_Row]]+Tasks[[#This Row],[_Descendants]]),TRUE())&gt;0,Tasks[[#This Row],[_LeafCritical]]),"Yes",""))</f>
        <v/>
      </c>
      <c r="AJ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2" s="89"/>
      <c r="AM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2" s="28" t="str">
        <f aca="false">IF(Tasks[[#This Row],[Task Name]]="","",IF(Tasks[[#This Row],[Progress]]&gt;=1,"Complete",IF(OR(N(Tasks[[#This Row],[Actual Start]])&gt;0,Tasks[[#This Row],[Progress]]&gt;0),IF(Tasks[[#This Row],[Finish Var]]&gt;0,"Behind","In Progress"),IF(Tasks[[#This Row],[Planned Start]]&lt;StatusDate,"Late Start","Not Started"))))</f>
        <v/>
      </c>
      <c r="AO22" s="30"/>
      <c r="AP22" s="89"/>
      <c r="AQ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2" s="96" t="str">
        <f aca="false">IF(Tasks[[#This Row],[Task Name]]="","",IF(Tasks[[#This Row],[_IsSummary]],SUM(INDEX(Tasks[_LeafTotalWork],Tasks[[#This Row],[_Row]]+1):INDEX(Tasks[_LeafTotalWork],Tasks[[#This Row],[_Row]]+Tasks[[#This Row],[_Descendants]])),Tasks[[#This Row],[_LeafTotalWork]]))</f>
        <v/>
      </c>
      <c r="AT22" s="97" t="str">
        <f aca="false">IF(Tasks[[#This Row],[Task Name]]="","",IF(Tasks[[#This Row],[_IsSummary]],SUM(INDEX(Tasks[_LeafTotalCost],Tasks[[#This Row],[_Row]]+1):INDEX(Tasks[_LeafTotalCost],Tasks[[#This Row],[_Row]]+Tasks[[#This Row],[_Descendants]])),Tasks[[#This Row],[_LeafTotalCost]]))</f>
        <v/>
      </c>
      <c r="AU22" s="98"/>
      <c r="AV22" s="29"/>
      <c r="AW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2" s="83"/>
      <c r="AY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2" s="30"/>
      <c r="BA22" s="25" t="str">
        <f aca="false">IF(Tasks[[#This Row],[Task Name]]="","",Tasks[[#This Row],[Forecast Start]])</f>
        <v/>
      </c>
      <c r="BB22" s="25" t="str">
        <f aca="false">IF(Tasks[[#This Row],[Task Name]]="","",Tasks[[#This Row],[Forecast Finish]])</f>
        <v/>
      </c>
      <c r="BC22" s="28" t="str">
        <f aca="false">IF(Tasks[[#This Row],[Task Name]]="","",IF(Tasks[[#This Row],[_IsSummary]],NETWORKDAYS.INTL(Tasks[[#This Row],[Forecast Start]],Tasks[[#This Row],[Forecast Finish]],WorkWeek,Holidays),N(Tasks[[#This Row],[Duration]])))</f>
        <v/>
      </c>
      <c r="BD22" s="96" t="str">
        <f aca="false">IF(Tasks[[#This Row],[Task Name]]="","",Tasks[[#This Row],[Work]])</f>
        <v/>
      </c>
      <c r="BE22" s="97" t="str">
        <f aca="false">IF(Tasks[[#This Row],[Task Name]]="","",Tasks[[#This Row],[Cost]])</f>
        <v/>
      </c>
      <c r="BF22" s="75"/>
      <c r="BG22" s="75"/>
      <c r="BH22" s="29"/>
      <c r="BI22" s="99"/>
      <c r="BJ22" s="98"/>
      <c r="BK22" s="28" t="str">
        <f aca="false">IF(OR(Tasks[[#This Row],[Task Name]]="",Tasks[[#This Row],[Baseline Duration]]=""),"",Tasks[[#This Row],[BL Source Duration]]-N(Tasks[[#This Row],[Baseline Duration]]))</f>
        <v/>
      </c>
      <c r="BL22" s="96" t="str">
        <f aca="false">IF(OR(Tasks[[#This Row],[Task Name]]="",Tasks[[#This Row],[Baseline Work]]=""),"",Tasks[[#This Row],[Work]]-N(Tasks[[#This Row],[Baseline Work]]))</f>
        <v/>
      </c>
      <c r="BM22" s="97" t="str">
        <f aca="false">IF(OR(Tasks[[#This Row],[Task Name]]="",Tasks[[#This Row],[Baseline Cost]]=""),"",Tasks[[#This Row],[Cost]]-N(Tasks[[#This Row],[Baseline Cost]]))</f>
        <v/>
      </c>
      <c r="BN22" s="97" t="str">
        <f aca="false">IF(Tasks[[#This Row],[Task Name]]="","",IF(Tasks[[#This Row],[_IsSummary]],SUM(INDEX(Tasks[_LeafBudget],Tasks[[#This Row],[_Row]]+1):INDEX(Tasks[_LeafBudget],Tasks[[#This Row],[_Row]]+Tasks[[#This Row],[_Descendants]])),Tasks[[#This Row],[_LeafBudget]]))</f>
        <v/>
      </c>
      <c r="BO22" s="97" t="str">
        <f aca="false">IF(Tasks[[#This Row],[Task Name]]="","",IF(Tasks[[#This Row],[_IsSummary]],SUM(INDEX(Tasks[_LeafPV],Tasks[[#This Row],[_Row]]+1):INDEX(Tasks[_LeafPV],Tasks[[#This Row],[_Row]]+Tasks[[#This Row],[_Descendants]])),Tasks[[#This Row],[_LeafPV]]))</f>
        <v/>
      </c>
      <c r="BP22" s="97" t="str">
        <f aca="false">IF(Tasks[[#This Row],[Task Name]]="","",IF(Tasks[[#This Row],[_IsSummary]],SUM(INDEX(Tasks[_LeafEV],Tasks[[#This Row],[_Row]]+1):INDEX(Tasks[_LeafEV],Tasks[[#This Row],[_Row]]+Tasks[[#This Row],[_Descendants]])),Tasks[[#This Row],[_LeafEV]]))</f>
        <v/>
      </c>
      <c r="BQ22" s="97" t="str">
        <f aca="false">IF(Tasks[[#This Row],[Task Name]]="","",IF(Tasks[[#This Row],[_IsSummary]],SUM(INDEX(Tasks[_LeafAC],Tasks[[#This Row],[_Row]]+1):INDEX(Tasks[_LeafAC],Tasks[[#This Row],[_Row]]+Tasks[[#This Row],[_Descendants]])),Tasks[[#This Row],[_LeafAC]]))</f>
        <v/>
      </c>
      <c r="BR22" s="41" t="str">
        <f aca="false">IF(Tasks[[#This Row],[Task Name]]="","",MAX(1,N(Tasks[[#This Row],[Level]])))</f>
        <v/>
      </c>
      <c r="BS22" s="41" t="n">
        <f aca="false">ROW()-ROW(Tasks[[#Headers],[ID]])</f>
        <v>17</v>
      </c>
      <c r="BT22" s="41" t="n">
        <f aca="false">IF(OR(Tasks[[#This Row],[Task Name]]="",Tasks[[#This Row],[_Level]]&lt;=1),0,IFERROR(LOOKUP(2,1/(Tasks[[#Headers],[_Level]]:Tasks[[#This Row],[_Level]]=Tasks[[#This Row],[_Level]]-1),ROW(Tasks[[#Headers],[_Level]]:Tasks[[#This Row],[_Level]])),0))</f>
        <v>0</v>
      </c>
      <c r="BU22" s="41" t="n">
        <f aca="false">IFERROR(N(INDEX(Tasks[_Level],Tasks[[#This Row],[_Row]]+1)),0)</f>
        <v>0</v>
      </c>
      <c r="BV22" s="100" t="b">
        <f aca="false">AND(Tasks[[#This Row],[Task Name]]&lt;&gt;"",Tasks[[#This Row],[_NextLevel]]&gt;Tasks[[#This Row],[_Level]])</f>
        <v>0</v>
      </c>
      <c r="BW22" s="41" t="n">
        <f aca="false">IF(Tasks[[#This Row],[_IsSummary]],COUNTIF(Tasks[WBS],Tasks[[#This Row],[WBS]]&amp;".*"),0)</f>
        <v>0</v>
      </c>
      <c r="BX22" s="41" t="n">
        <f aca="false">IF(AND(Tasks[[#This Row],[Task Name]]&lt;&gt;"",NOT(Tasks[[#This Row],[_IsSummary]])),1,0)</f>
        <v>0</v>
      </c>
      <c r="BY22" s="41" t="n">
        <f aca="false">IF(N(Tasks[[#This Row],[Pred1 UID]])=0,0,IFERROR(MATCH(Tasks[[#This Row],[Pred1 UID]],Tasks[UID],0),-1))</f>
        <v>0</v>
      </c>
      <c r="BZ22" s="41" t="n">
        <f aca="false">IF(N(Tasks[[#This Row],[Pred2 UID]])=0,0,IFERROR(MATCH(Tasks[[#This Row],[Pred2 UID]],Tasks[UID],0),-1))</f>
        <v>0</v>
      </c>
      <c r="CA22" s="41" t="n">
        <f aca="false">IF(N(Tasks[[#This Row],[Pred3 UID]])=0,0,IFERROR(MATCH(Tasks[[#This Row],[Pred3 UID]],Tasks[UID],0),-1))</f>
        <v>0</v>
      </c>
      <c r="CB22" s="41" t="n">
        <f aca="false">IF(N(Tasks[[#This Row],[Pred4 UID]])=0,0,IFERROR(MATCH(Tasks[[#This Row],[Pred4 UID]],Tasks[UID],0),-1))</f>
        <v>0</v>
      </c>
      <c r="CC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2" s="101" t="n">
        <f aca="false">IF(OR(Tasks[[#This Row],[_ConstraintCode]]=2,Tasks[[#This Row],[_ConstraintCode]]=3,Tasks[[#This Row],[_ConstraintCode]]=4,Tasks[[#This Row],[_ConstraintCode]]=6),Tasks[[#This Row],[_ConstraintStart]],0)</f>
        <v>0</v>
      </c>
      <c r="CF22" s="101" t="n">
        <f aca="false">IF(OR(Tasks[[#This Row],[_ConstraintCode]]=2,Tasks[[#This Row],[_ConstraintCode]]=3,Tasks[[#This Row],[_ConstraintCode]]=5,Tasks[[#This Row],[_ConstraintCode]]=7),Tasks[[#This Row],[_ConstraintStart]],2958465)</f>
        <v>2958465</v>
      </c>
      <c r="CG2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2" s="101" t="str">
        <f aca="false">IF(NOT(Tasks[[#This Row],[_IsLeaf]]=1),"",IF(N(Tasks[[#This Row],[Duration]])&lt;=0,Tasks[[#This Row],[_LeafCalcStart]],WORKDAY.INTL(Tasks[[#This Row],[_LeafCalcStart]],Tasks[[#This Row],[Duration]]-1,WorkWeek,Holidays)))</f>
        <v/>
      </c>
      <c r="CI2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2" s="41" t="n">
        <f aca="false">IF(NOT(Tasks[[#This Row],[_IsLeaf]]=1),0,IF(N(Tasks[[#This Row],[Actual Finish]])&gt;0,1,MIN(1,N(Tasks[[#This Row],[% Complete]]))))</f>
        <v>0</v>
      </c>
      <c r="CL22" s="41" t="n">
        <f aca="false">IF(OR(NOT(Tasks[[#This Row],[_IsLeaf]]=1),Tasks[[#This Row],[Resource]]=""),0,N(Tasks[[#This Row],[Duration]])*HoursPerDay*IF(Tasks[[#This Row],[Units]]="",DefaultUnits,Tasks[[#This Row],[Units]]))</f>
        <v>0</v>
      </c>
      <c r="CM22" s="41" t="n">
        <f aca="false">IF(Tasks[[#This Row],[_LeafWork]]=0,0,Tasks[[#This Row],[_LeafWork]]*IFERROR(INDEX(res_Rate,MATCH(Tasks[[#This Row],[Resource]],res_Name,0)),0))</f>
        <v>0</v>
      </c>
      <c r="CN22" s="41" t="n">
        <f aca="false">Tasks[[#This Row],[_LeafWork]]+IF(Tasks[[#This Row],[_IsLeaf]]=1,SUMIFS(asg_Work,asg_TaskUID,Tasks[[#This Row],[UID]],asg_Valid,1),0)</f>
        <v>0</v>
      </c>
      <c r="CO22" s="41" t="n">
        <f aca="false">Tasks[[#This Row],[_LeafCost]]+IF(Tasks[[#This Row],[_IsLeaf]]=1,SUMIFS(asg_Cost,asg_TaskUID,Tasks[[#This Row],[UID]],asg_Valid,1),0)</f>
        <v>0</v>
      </c>
      <c r="CP22" s="41" t="n">
        <f aca="false">IF(Tasks[[#This Row],[_LeafTotalCost]]=0,Tasks[[#This Row],[_LeafAC]],Tasks[[#This Row],[_LeafAC]]*Tasks[[#This Row],[_LeafCost]]/Tasks[[#This Row],[_LeafTotalCost]])</f>
        <v>0</v>
      </c>
      <c r="CQ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2" s="41" t="n">
        <f aca="false">IF(NOT(Tasks[[#This Row],[_IsLeaf]]=1),0,MAX(_xlfn.MAXIFS(Tasks[_Row],Tasks[Pred1 UID],Tasks[[#This Row],[UID]]),_xlfn.MAXIFS(Tasks[_Row],Tasks[Pred2 UID],Tasks[[#This Row],[UID]]),_xlfn.MAXIFS(Tasks[_Row],Tasks[Pred3 UID],Tasks[[#This Row],[UID]]),_xlfn.MAXIFS(Tasks[_Row],Tasks[Pred4 UID],Tasks[[#This Row],[UID]])))</f>
        <v>0</v>
      </c>
      <c r="CZ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2" s="101" t="str">
        <f aca="false">IF(NOT(Tasks[[#This Row],[_IsLeaf]]=1),"",IF(N(Tasks[[#This Row],[Duration]])&lt;=0,Tasks[[#This Row],[_LeafLateFinish]],WORKDAY.INTL(Tasks[[#This Row],[_LeafLateFinish]],-(Tasks[[#This Row],[Duration]]-1),WorkWeek,Holidays)))</f>
        <v/>
      </c>
      <c r="DC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2" s="100" t="b">
        <f aca="false">AND(Tasks[[#This Row],[_IsLeaf]]=1,Tasks[[#This Row],[_LeafProgress]]&lt;1,N(Tasks[[#This Row],[_LeafTotalSlack]])&lt;=CriticalSlackDays)</f>
        <v>0</v>
      </c>
      <c r="DE22" s="41" t="n">
        <f aca="false">IF(AND(Tasks[[#This Row],[_IsLeaf]]=1,Tasks[[#This Row],[_ConstraintCode]]=1,Tasks[[#This Row],[Mode]]&lt;&gt;"Manual",N(Tasks[[#This Row],[Actual Start]])=0),MAX(0,N(Tasks[[#This Row],[Free Slack]])),0)</f>
        <v>0</v>
      </c>
      <c r="DF22" s="101" t="str">
        <f aca="false">IF(NOT(Tasks[[#This Row],[_IsLeaf]]=1),"",IF(Tasks[[#This Row],[_AlapShift]]=0,Tasks[[#This Row],[_LeafCalcStart]],WORKDAY.INTL(Tasks[[#This Row],[_LeafCalcStart]],Tasks[[#This Row],[_AlapShift]],WorkWeek,Holidays)))</f>
        <v/>
      </c>
      <c r="DG22" s="101" t="str">
        <f aca="false">IF(NOT(Tasks[[#This Row],[_IsLeaf]]=1),"",IF(Tasks[[#This Row],[_AlapShift]]=0,Tasks[[#This Row],[_LeafCalcFinish]],WORKDAY.INTL(Tasks[[#This Row],[_LeafCalcFinish]],Tasks[[#This Row],[_AlapShift]],WorkWeek,Holidays)))</f>
        <v/>
      </c>
      <c r="DH22" s="101" t="str">
        <f aca="false">IF(NOT(Tasks[[#This Row],[_IsLeaf]]=1),"",IF(Tasks[[#This Row],[_AlapShift]]=0,Tasks[[#This Row],[_LeafFcstStart]],WORKDAY.INTL(Tasks[[#This Row],[_LeafFcstStart]],Tasks[[#This Row],[_AlapShift]],WorkWeek,Holidays)))</f>
        <v/>
      </c>
      <c r="DI22" s="101" t="str">
        <f aca="false">IF(NOT(Tasks[[#This Row],[_IsLeaf]]=1),"",IF(Tasks[[#This Row],[_AlapShift]]=0,Tasks[[#This Row],[_LeafFcstFinish]],WORKDAY.INTL(Tasks[[#This Row],[_LeafFcstFinish]],Tasks[[#This Row],[_AlapShift]],WorkWeek,Holidays)))</f>
        <v/>
      </c>
      <c r="DJ22" s="101" t="str">
        <f aca="false">IF(Tasks[[#This Row],[Task Name]]="","",IF(Tasks[[#This Row],[_IsSummary]],MIN(INDEX(Tasks[_ShownCalcStart],Tasks[[#This Row],[_Row]]+1):INDEX(Tasks[_ShownCalcStart],Tasks[[#This Row],[_Row]]+Tasks[[#This Row],[_Descendants]])),Tasks[[#This Row],[_ShownCalcStart]]))</f>
        <v/>
      </c>
      <c r="DK22" s="101" t="str">
        <f aca="false">IF(Tasks[[#This Row],[Task Name]]="","",IF(Tasks[[#This Row],[_IsSummary]],MAX(INDEX(Tasks[_ShownCalcFinish],Tasks[[#This Row],[_Row]]+1):INDEX(Tasks[_ShownCalcFinish],Tasks[[#This Row],[_Row]]+Tasks[[#This Row],[_Descendants]])),Tasks[[#This Row],[_ShownCalcFinish]]))</f>
        <v/>
      </c>
      <c r="D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2" s="41" t="n">
        <f aca="false">IF(AND(Tasks[[#This Row],[_IsLeaf]]=1,Tasks[[#This Row],[_LeafTotalWork]]&gt;0),NETWORKDAYS.INTL(ProjectStart,Tasks[[#This Row],[_ShownFcstStart]],WorkWeek,Holidays),0)</f>
        <v>0</v>
      </c>
      <c r="DY22" s="41" t="n">
        <f aca="false">IF(AND(Tasks[[#This Row],[_IsLeaf]]=1,Tasks[[#This Row],[_LeafTotalWork]]&gt;0),MAX(Tasks[[#This Row],[_StartWorkday]],NETWORKDAYS.INTL(ProjectStart,Tasks[[#This Row],[_ShownFcstFinish]],WorkWeek,Holidays)),0)</f>
        <v>0</v>
      </c>
      <c r="DZ22" s="41" t="n">
        <f aca="false">IF(AND(Tasks[[#This Row],[_IsLeaf]]=1,Tasks[[#This Row],[_LeafTotalWork]]&gt;0),Tasks[[#This Row],[_LeafWork]]/(Tasks[[#This Row],[_FinishWorkday]]-Tasks[[#This Row],[_StartWorkday]]+1),0)</f>
        <v>0</v>
      </c>
      <c r="EA22" s="41" t="n">
        <f aca="false">Tasks[[#This Row],[_WorkPerWorkday]]*(Tasks[[#This Row],[_StartWorkday]]-1)</f>
        <v>-0</v>
      </c>
      <c r="EB22" s="41" t="n">
        <f aca="false">IF(Tasks[[#This Row],[_IsLeaf]]=1,MAX(N(Tasks[[#This Row],[Duration]]),0.1),0)</f>
        <v>0</v>
      </c>
      <c r="EC22" s="41" t="n">
        <f aca="false">Tasks[[#This Row],[_WeightDur]]*Tasks[[#This Row],[_LeafProgress]]</f>
        <v>0</v>
      </c>
      <c r="ED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2" s="41" t="str">
        <f aca="false">IF(AND(Tasks[[#This Row],[_IsLeaf]]=1,N(Tasks[[#This Row],[Duration]])=0,Tasks[[#This Row],[_LeafProgress]]&lt;1),Tasks[[#This Row],[_ShownFcstFinish]]+Tasks[[#This Row],[_Row]]/100000,"")</f>
        <v/>
      </c>
      <c r="EF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2" s="41" t="n">
        <f aca="false">IF(NOT(Tasks[[#This Row],[_IsLeaf]]=1),0,IF(Tasks[[#This Row],[Baseline Cost]]="",Tasks[[#This Row],[_LeafTotalCost]],N(Tasks[[#This Row],[Baseline Cost]])))</f>
        <v>0</v>
      </c>
      <c r="EH22" s="41" t="n">
        <f aca="false">Tasks[[#This Row],[_LeafBudget]]*Tasks[[#This Row],[_PlannedPct]]</f>
        <v>0</v>
      </c>
      <c r="EI22" s="41" t="n">
        <f aca="false">Tasks[[#This Row],[_LeafBudget]]*Tasks[[#This Row],[_LeafProgress]]</f>
        <v>0</v>
      </c>
      <c r="EJ22" s="41" t="n">
        <f aca="false">IF(NOT(Tasks[[#This Row],[_IsLeaf]]=1),0,IF(Tasks[[#This Row],[Actual Cost]]="",Tasks[[#This Row],[_LeafTotalCost]]*Tasks[[#This Row],[_LeafProgress]],N(Tasks[[#This Row],[Actual Cost]])))</f>
        <v>0</v>
      </c>
      <c r="EK22" s="41" t="str">
        <f aca="false">IF(Tasks[[#This Row],[Task Name]]="","",LEFT(Tasks[[#This Row],[WBS]],FIND(".",Tasks[[#This Row],[WBS]]&amp;".")-1))</f>
        <v/>
      </c>
      <c r="EL22" s="41" t="str">
        <f aca="false">IF(AND(Tasks[[#This Row],[Task Name]]&lt;&gt;"",Tasks[[#This Row],[_Level]]=1),Tasks[[#This Row],[_Row]],"")</f>
        <v/>
      </c>
      <c r="EM22" s="41" t="str">
        <f aca="false">IF(AND(Tasks[[#This Row],[_IsLeaf]]=1,N(Tasks[[#This Row],[Duration]])=0),Tasks[[#This Row],[Planned Finish]]+Tasks[[#This Row],[_Row]]/100000,"")</f>
        <v/>
      </c>
      <c r="EN22" s="41" t="str">
        <f aca="false">IF(AND(Tasks[[#This Row],[_IsLeaf]]=1,Tasks[[#This Row],[_LeafProgress]]&lt;1,OR(N(Tasks[[#This Row],[Finish Var]])&gt;0,Tasks[[#This Row],[Status]]="Late Start")),MAX(0,Tasks[[#This Row],[Finish Var]])+1-Tasks[[#This Row],[_Row]]/1000000,"")</f>
        <v/>
      </c>
      <c r="EO22" s="41" t="str">
        <f aca="false">IF(AND(Tasks[[#This Row],[_IsLeaf]]=1,N(Tasks[[#This Row],[Actual Start]])=0,Tasks[[#This Row],[_ShownFcstStart]]&gt;=StatusDate,Tasks[[#This Row],[_ShownFcstStart]]&lt;=LookaheadEnd),Tasks[[#This Row],[_ShownFcstStart]]+Tasks[[#This Row],[_Row]]/100000,"")</f>
        <v/>
      </c>
      <c r="EP22" s="41" t="str">
        <f aca="false">IF(AND(Tasks[[#This Row],[_IsLeaf]]=1,Tasks[[#This Row],[_LeafProgress]]&lt;1,Tasks[[#This Row],[_ShownFcstFinish]]&gt;=StatusDate,Tasks[[#This Row],[_ShownFcstFinish]]&lt;=LookaheadEnd),Tasks[[#This Row],[_ShownFcstFinish]]+Tasks[[#This Row],[_Row]]/100000,"")</f>
        <v/>
      </c>
      <c r="EQ22" s="41" t="str">
        <f aca="false">IF(Tasks[[#This Row],[_LeafCritical]],Tasks[[#This Row],[_ShownFcstStart]]+Tasks[[#This Row],[_Row]]/100000,"")</f>
        <v/>
      </c>
      <c r="ER22" s="41" t="n">
        <f aca="false">Tasks[[#This Row],[_LeafWork]]*Tasks[[#This Row],[_LeafProgress]]</f>
        <v>0</v>
      </c>
      <c r="ES22" s="101" t="str">
        <f aca="false">IF(AND(Tasks[[#This Row],[_IsLeaf]]=1,Tasks[[#This Row],[_LeafProgress]]&gt;=1),IF(N(Tasks[[#This Row],[Actual Finish]])&gt;0,Tasks[[#This Row],[Actual Finish]],Tasks[[#This Row],[_ShownFcstFinish]]),"")</f>
        <v/>
      </c>
      <c r="ET22" s="41" t="n">
        <f aca="false">IF(Tasks[[#This Row],[_IsLeaf]]=1,N(Tasks[[#This Row],[Story Points]]),0)</f>
        <v>0</v>
      </c>
      <c r="EU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29"/>
      <c r="O23" s="29"/>
      <c r="P23" s="29"/>
      <c r="Q23" s="29"/>
      <c r="R23" s="29"/>
      <c r="S23" s="29"/>
      <c r="T23" s="30"/>
      <c r="U23" s="75"/>
      <c r="V23" s="75"/>
      <c r="W23" s="25" t="str">
        <f aca="false">IF(Tasks[[#This Row],[Task Name]]="","",IF(N(Tasks[[#This Row],[Baseline Start]])&gt;0,Tasks[[#This Row],[Baseline Start]],Tasks[[#This Row],[_CalcStart]]))</f>
        <v/>
      </c>
      <c r="X23" s="25" t="str">
        <f aca="false">IF(Tasks[[#This Row],[Task Name]]="","",IF(N(Tasks[[#This Row],[Baseline Finish]])&gt;0,Tasks[[#This Row],[Baseline Finish]],Tasks[[#This Row],[_CalcFinish]]))</f>
        <v/>
      </c>
      <c r="Y23" s="75"/>
      <c r="Z23" s="75"/>
      <c r="AA23" s="25" t="str">
        <f aca="false">IF(Tasks[[#This Row],[Task Name]]="","",IF(Tasks[[#This Row],[_IsSummary]],MIN(INDEX(Tasks[_ShownFcstStart],Tasks[[#This Row],[_Row]]+1):INDEX(Tasks[_ShownFcstStart],Tasks[[#This Row],[_Row]]+Tasks[[#This Row],[_Descendants]])),Tasks[[#This Row],[_ShownFcstStart]]))</f>
        <v/>
      </c>
      <c r="AB23" s="25" t="str">
        <f aca="false">IF(Tasks[[#This Row],[Task Name]]="","",IF(Tasks[[#This Row],[_IsSummary]],MAX(INDEX(Tasks[_ShownFcstFinish],Tasks[[#This Row],[_Row]]+1):INDEX(Tasks[_ShownFcstFinish],Tasks[[#This Row],[_Row]]+Tasks[[#This Row],[_Descendants]])),Tasks[[#This Row],[_ShownFcstFinish]]))</f>
        <v/>
      </c>
      <c r="AC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3" s="25" t="str">
        <f aca="false">IF(Tasks[[#This Row],[Task Name]]="","",IF(Tasks[[#This Row],[_IsSummary]],MIN(INDEX(Tasks[_LeafLateStart],Tasks[[#This Row],[_Row]]+1):INDEX(Tasks[_LeafLateStart],Tasks[[#This Row],[_Row]]+Tasks[[#This Row],[_Descendants]])),Tasks[[#This Row],[_LeafLateStart]]))</f>
        <v/>
      </c>
      <c r="AF23" s="25" t="str">
        <f aca="false">IF(Tasks[[#This Row],[Task Name]]="","",IF(Tasks[[#This Row],[_IsSummary]],MAX(INDEX(Tasks[_LeafLateFinish],Tasks[[#This Row],[_Row]]+1):INDEX(Tasks[_LeafLateFinish],Tasks[[#This Row],[_Row]]+Tasks[[#This Row],[_Descendants]])),Tasks[[#This Row],[_LeafLateFinish]]))</f>
        <v/>
      </c>
      <c r="AG23" s="28" t="str">
        <f aca="false">IF(Tasks[[#This Row],[Task Name]]="","",IF(Tasks[[#This Row],[_IsSummary]],MIN(INDEX(Tasks[_LeafTotalSlack],Tasks[[#This Row],[_Row]]+1):INDEX(Tasks[_LeafTotalSlack],Tasks[[#This Row],[_Row]]+Tasks[[#This Row],[_Descendants]])),Tasks[[#This Row],[_LeafTotalSlack]]))</f>
        <v/>
      </c>
      <c r="AH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3" s="28" t="str">
        <f aca="false">IF(Tasks[[#This Row],[Task Name]]="","",IF(IF(Tasks[[#This Row],[_IsSummary]],COUNTIF(INDEX(Tasks[_LeafCritical],Tasks[[#This Row],[_Row]]+1):INDEX(Tasks[_LeafCritical],Tasks[[#This Row],[_Row]]+Tasks[[#This Row],[_Descendants]]),TRUE())&gt;0,Tasks[[#This Row],[_LeafCritical]]),"Yes",""))</f>
        <v/>
      </c>
      <c r="AJ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3" s="89"/>
      <c r="AM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3" s="28" t="str">
        <f aca="false">IF(Tasks[[#This Row],[Task Name]]="","",IF(Tasks[[#This Row],[Progress]]&gt;=1,"Complete",IF(OR(N(Tasks[[#This Row],[Actual Start]])&gt;0,Tasks[[#This Row],[Progress]]&gt;0),IF(Tasks[[#This Row],[Finish Var]]&gt;0,"Behind","In Progress"),IF(Tasks[[#This Row],[Planned Start]]&lt;StatusDate,"Late Start","Not Started"))))</f>
        <v/>
      </c>
      <c r="AO23" s="30"/>
      <c r="AP23" s="89"/>
      <c r="AQ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3" s="96" t="str">
        <f aca="false">IF(Tasks[[#This Row],[Task Name]]="","",IF(Tasks[[#This Row],[_IsSummary]],SUM(INDEX(Tasks[_LeafTotalWork],Tasks[[#This Row],[_Row]]+1):INDEX(Tasks[_LeafTotalWork],Tasks[[#This Row],[_Row]]+Tasks[[#This Row],[_Descendants]])),Tasks[[#This Row],[_LeafTotalWork]]))</f>
        <v/>
      </c>
      <c r="AT23" s="97" t="str">
        <f aca="false">IF(Tasks[[#This Row],[Task Name]]="","",IF(Tasks[[#This Row],[_IsSummary]],SUM(INDEX(Tasks[_LeafTotalCost],Tasks[[#This Row],[_Row]]+1):INDEX(Tasks[_LeafTotalCost],Tasks[[#This Row],[_Row]]+Tasks[[#This Row],[_Descendants]])),Tasks[[#This Row],[_LeafTotalCost]]))</f>
        <v/>
      </c>
      <c r="AU23" s="98"/>
      <c r="AV23" s="29"/>
      <c r="AW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3" s="83"/>
      <c r="AY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3" s="30"/>
      <c r="BA23" s="25" t="str">
        <f aca="false">IF(Tasks[[#This Row],[Task Name]]="","",Tasks[[#This Row],[Forecast Start]])</f>
        <v/>
      </c>
      <c r="BB23" s="25" t="str">
        <f aca="false">IF(Tasks[[#This Row],[Task Name]]="","",Tasks[[#This Row],[Forecast Finish]])</f>
        <v/>
      </c>
      <c r="BC23" s="28" t="str">
        <f aca="false">IF(Tasks[[#This Row],[Task Name]]="","",IF(Tasks[[#This Row],[_IsSummary]],NETWORKDAYS.INTL(Tasks[[#This Row],[Forecast Start]],Tasks[[#This Row],[Forecast Finish]],WorkWeek,Holidays),N(Tasks[[#This Row],[Duration]])))</f>
        <v/>
      </c>
      <c r="BD23" s="96" t="str">
        <f aca="false">IF(Tasks[[#This Row],[Task Name]]="","",Tasks[[#This Row],[Work]])</f>
        <v/>
      </c>
      <c r="BE23" s="97" t="str">
        <f aca="false">IF(Tasks[[#This Row],[Task Name]]="","",Tasks[[#This Row],[Cost]])</f>
        <v/>
      </c>
      <c r="BF23" s="75"/>
      <c r="BG23" s="75"/>
      <c r="BH23" s="29"/>
      <c r="BI23" s="99"/>
      <c r="BJ23" s="98"/>
      <c r="BK23" s="28" t="str">
        <f aca="false">IF(OR(Tasks[[#This Row],[Task Name]]="",Tasks[[#This Row],[Baseline Duration]]=""),"",Tasks[[#This Row],[BL Source Duration]]-N(Tasks[[#This Row],[Baseline Duration]]))</f>
        <v/>
      </c>
      <c r="BL23" s="96" t="str">
        <f aca="false">IF(OR(Tasks[[#This Row],[Task Name]]="",Tasks[[#This Row],[Baseline Work]]=""),"",Tasks[[#This Row],[Work]]-N(Tasks[[#This Row],[Baseline Work]]))</f>
        <v/>
      </c>
      <c r="BM23" s="97" t="str">
        <f aca="false">IF(OR(Tasks[[#This Row],[Task Name]]="",Tasks[[#This Row],[Baseline Cost]]=""),"",Tasks[[#This Row],[Cost]]-N(Tasks[[#This Row],[Baseline Cost]]))</f>
        <v/>
      </c>
      <c r="BN23" s="97" t="str">
        <f aca="false">IF(Tasks[[#This Row],[Task Name]]="","",IF(Tasks[[#This Row],[_IsSummary]],SUM(INDEX(Tasks[_LeafBudget],Tasks[[#This Row],[_Row]]+1):INDEX(Tasks[_LeafBudget],Tasks[[#This Row],[_Row]]+Tasks[[#This Row],[_Descendants]])),Tasks[[#This Row],[_LeafBudget]]))</f>
        <v/>
      </c>
      <c r="BO23" s="97" t="str">
        <f aca="false">IF(Tasks[[#This Row],[Task Name]]="","",IF(Tasks[[#This Row],[_IsSummary]],SUM(INDEX(Tasks[_LeafPV],Tasks[[#This Row],[_Row]]+1):INDEX(Tasks[_LeafPV],Tasks[[#This Row],[_Row]]+Tasks[[#This Row],[_Descendants]])),Tasks[[#This Row],[_LeafPV]]))</f>
        <v/>
      </c>
      <c r="BP23" s="97" t="str">
        <f aca="false">IF(Tasks[[#This Row],[Task Name]]="","",IF(Tasks[[#This Row],[_IsSummary]],SUM(INDEX(Tasks[_LeafEV],Tasks[[#This Row],[_Row]]+1):INDEX(Tasks[_LeafEV],Tasks[[#This Row],[_Row]]+Tasks[[#This Row],[_Descendants]])),Tasks[[#This Row],[_LeafEV]]))</f>
        <v/>
      </c>
      <c r="BQ23" s="97" t="str">
        <f aca="false">IF(Tasks[[#This Row],[Task Name]]="","",IF(Tasks[[#This Row],[_IsSummary]],SUM(INDEX(Tasks[_LeafAC],Tasks[[#This Row],[_Row]]+1):INDEX(Tasks[_LeafAC],Tasks[[#This Row],[_Row]]+Tasks[[#This Row],[_Descendants]])),Tasks[[#This Row],[_LeafAC]]))</f>
        <v/>
      </c>
      <c r="BR23" s="41" t="str">
        <f aca="false">IF(Tasks[[#This Row],[Task Name]]="","",MAX(1,N(Tasks[[#This Row],[Level]])))</f>
        <v/>
      </c>
      <c r="BS23" s="41" t="n">
        <f aca="false">ROW()-ROW(Tasks[[#Headers],[ID]])</f>
        <v>18</v>
      </c>
      <c r="BT23" s="41" t="n">
        <f aca="false">IF(OR(Tasks[[#This Row],[Task Name]]="",Tasks[[#This Row],[_Level]]&lt;=1),0,IFERROR(LOOKUP(2,1/(Tasks[[#Headers],[_Level]]:Tasks[[#This Row],[_Level]]=Tasks[[#This Row],[_Level]]-1),ROW(Tasks[[#Headers],[_Level]]:Tasks[[#This Row],[_Level]])),0))</f>
        <v>0</v>
      </c>
      <c r="BU23" s="41" t="n">
        <f aca="false">IFERROR(N(INDEX(Tasks[_Level],Tasks[[#This Row],[_Row]]+1)),0)</f>
        <v>0</v>
      </c>
      <c r="BV23" s="100" t="b">
        <f aca="false">AND(Tasks[[#This Row],[Task Name]]&lt;&gt;"",Tasks[[#This Row],[_NextLevel]]&gt;Tasks[[#This Row],[_Level]])</f>
        <v>0</v>
      </c>
      <c r="BW23" s="41" t="n">
        <f aca="false">IF(Tasks[[#This Row],[_IsSummary]],COUNTIF(Tasks[WBS],Tasks[[#This Row],[WBS]]&amp;".*"),0)</f>
        <v>0</v>
      </c>
      <c r="BX23" s="41" t="n">
        <f aca="false">IF(AND(Tasks[[#This Row],[Task Name]]&lt;&gt;"",NOT(Tasks[[#This Row],[_IsSummary]])),1,0)</f>
        <v>0</v>
      </c>
      <c r="BY23" s="41" t="n">
        <f aca="false">IF(N(Tasks[[#This Row],[Pred1 UID]])=0,0,IFERROR(MATCH(Tasks[[#This Row],[Pred1 UID]],Tasks[UID],0),-1))</f>
        <v>0</v>
      </c>
      <c r="BZ23" s="41" t="n">
        <f aca="false">IF(N(Tasks[[#This Row],[Pred2 UID]])=0,0,IFERROR(MATCH(Tasks[[#This Row],[Pred2 UID]],Tasks[UID],0),-1))</f>
        <v>0</v>
      </c>
      <c r="CA23" s="41" t="n">
        <f aca="false">IF(N(Tasks[[#This Row],[Pred3 UID]])=0,0,IFERROR(MATCH(Tasks[[#This Row],[Pred3 UID]],Tasks[UID],0),-1))</f>
        <v>0</v>
      </c>
      <c r="CB23" s="41" t="n">
        <f aca="false">IF(N(Tasks[[#This Row],[Pred4 UID]])=0,0,IFERROR(MATCH(Tasks[[#This Row],[Pred4 UID]],Tasks[UID],0),-1))</f>
        <v>0</v>
      </c>
      <c r="CC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3" s="101" t="n">
        <f aca="false">IF(OR(Tasks[[#This Row],[_ConstraintCode]]=2,Tasks[[#This Row],[_ConstraintCode]]=3,Tasks[[#This Row],[_ConstraintCode]]=4,Tasks[[#This Row],[_ConstraintCode]]=6),Tasks[[#This Row],[_ConstraintStart]],0)</f>
        <v>0</v>
      </c>
      <c r="CF23" s="101" t="n">
        <f aca="false">IF(OR(Tasks[[#This Row],[_ConstraintCode]]=2,Tasks[[#This Row],[_ConstraintCode]]=3,Tasks[[#This Row],[_ConstraintCode]]=5,Tasks[[#This Row],[_ConstraintCode]]=7),Tasks[[#This Row],[_ConstraintStart]],2958465)</f>
        <v>2958465</v>
      </c>
      <c r="CG2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3" s="101" t="str">
        <f aca="false">IF(NOT(Tasks[[#This Row],[_IsLeaf]]=1),"",IF(N(Tasks[[#This Row],[Duration]])&lt;=0,Tasks[[#This Row],[_LeafCalcStart]],WORKDAY.INTL(Tasks[[#This Row],[_LeafCalcStart]],Tasks[[#This Row],[Duration]]-1,WorkWeek,Holidays)))</f>
        <v/>
      </c>
      <c r="CI2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3" s="41" t="n">
        <f aca="false">IF(NOT(Tasks[[#This Row],[_IsLeaf]]=1),0,IF(N(Tasks[[#This Row],[Actual Finish]])&gt;0,1,MIN(1,N(Tasks[[#This Row],[% Complete]]))))</f>
        <v>0</v>
      </c>
      <c r="CL23" s="41" t="n">
        <f aca="false">IF(OR(NOT(Tasks[[#This Row],[_IsLeaf]]=1),Tasks[[#This Row],[Resource]]=""),0,N(Tasks[[#This Row],[Duration]])*HoursPerDay*IF(Tasks[[#This Row],[Units]]="",DefaultUnits,Tasks[[#This Row],[Units]]))</f>
        <v>0</v>
      </c>
      <c r="CM23" s="41" t="n">
        <f aca="false">IF(Tasks[[#This Row],[_LeafWork]]=0,0,Tasks[[#This Row],[_LeafWork]]*IFERROR(INDEX(res_Rate,MATCH(Tasks[[#This Row],[Resource]],res_Name,0)),0))</f>
        <v>0</v>
      </c>
      <c r="CN23" s="41" t="n">
        <f aca="false">Tasks[[#This Row],[_LeafWork]]+IF(Tasks[[#This Row],[_IsLeaf]]=1,SUMIFS(asg_Work,asg_TaskUID,Tasks[[#This Row],[UID]],asg_Valid,1),0)</f>
        <v>0</v>
      </c>
      <c r="CO23" s="41" t="n">
        <f aca="false">Tasks[[#This Row],[_LeafCost]]+IF(Tasks[[#This Row],[_IsLeaf]]=1,SUMIFS(asg_Cost,asg_TaskUID,Tasks[[#This Row],[UID]],asg_Valid,1),0)</f>
        <v>0</v>
      </c>
      <c r="CP23" s="41" t="n">
        <f aca="false">IF(Tasks[[#This Row],[_LeafTotalCost]]=0,Tasks[[#This Row],[_LeafAC]],Tasks[[#This Row],[_LeafAC]]*Tasks[[#This Row],[_LeafCost]]/Tasks[[#This Row],[_LeafTotalCost]])</f>
        <v>0</v>
      </c>
      <c r="CQ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3" s="41" t="n">
        <f aca="false">IF(NOT(Tasks[[#This Row],[_IsLeaf]]=1),0,MAX(_xlfn.MAXIFS(Tasks[_Row],Tasks[Pred1 UID],Tasks[[#This Row],[UID]]),_xlfn.MAXIFS(Tasks[_Row],Tasks[Pred2 UID],Tasks[[#This Row],[UID]]),_xlfn.MAXIFS(Tasks[_Row],Tasks[Pred3 UID],Tasks[[#This Row],[UID]]),_xlfn.MAXIFS(Tasks[_Row],Tasks[Pred4 UID],Tasks[[#This Row],[UID]])))</f>
        <v>0</v>
      </c>
      <c r="CZ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3" s="101" t="str">
        <f aca="false">IF(NOT(Tasks[[#This Row],[_IsLeaf]]=1),"",IF(N(Tasks[[#This Row],[Duration]])&lt;=0,Tasks[[#This Row],[_LeafLateFinish]],WORKDAY.INTL(Tasks[[#This Row],[_LeafLateFinish]],-(Tasks[[#This Row],[Duration]]-1),WorkWeek,Holidays)))</f>
        <v/>
      </c>
      <c r="DC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3" s="100" t="b">
        <f aca="false">AND(Tasks[[#This Row],[_IsLeaf]]=1,Tasks[[#This Row],[_LeafProgress]]&lt;1,N(Tasks[[#This Row],[_LeafTotalSlack]])&lt;=CriticalSlackDays)</f>
        <v>0</v>
      </c>
      <c r="DE23" s="41" t="n">
        <f aca="false">IF(AND(Tasks[[#This Row],[_IsLeaf]]=1,Tasks[[#This Row],[_ConstraintCode]]=1,Tasks[[#This Row],[Mode]]&lt;&gt;"Manual",N(Tasks[[#This Row],[Actual Start]])=0),MAX(0,N(Tasks[[#This Row],[Free Slack]])),0)</f>
        <v>0</v>
      </c>
      <c r="DF23" s="101" t="str">
        <f aca="false">IF(NOT(Tasks[[#This Row],[_IsLeaf]]=1),"",IF(Tasks[[#This Row],[_AlapShift]]=0,Tasks[[#This Row],[_LeafCalcStart]],WORKDAY.INTL(Tasks[[#This Row],[_LeafCalcStart]],Tasks[[#This Row],[_AlapShift]],WorkWeek,Holidays)))</f>
        <v/>
      </c>
      <c r="DG23" s="101" t="str">
        <f aca="false">IF(NOT(Tasks[[#This Row],[_IsLeaf]]=1),"",IF(Tasks[[#This Row],[_AlapShift]]=0,Tasks[[#This Row],[_LeafCalcFinish]],WORKDAY.INTL(Tasks[[#This Row],[_LeafCalcFinish]],Tasks[[#This Row],[_AlapShift]],WorkWeek,Holidays)))</f>
        <v/>
      </c>
      <c r="DH23" s="101" t="str">
        <f aca="false">IF(NOT(Tasks[[#This Row],[_IsLeaf]]=1),"",IF(Tasks[[#This Row],[_AlapShift]]=0,Tasks[[#This Row],[_LeafFcstStart]],WORKDAY.INTL(Tasks[[#This Row],[_LeafFcstStart]],Tasks[[#This Row],[_AlapShift]],WorkWeek,Holidays)))</f>
        <v/>
      </c>
      <c r="DI23" s="101" t="str">
        <f aca="false">IF(NOT(Tasks[[#This Row],[_IsLeaf]]=1),"",IF(Tasks[[#This Row],[_AlapShift]]=0,Tasks[[#This Row],[_LeafFcstFinish]],WORKDAY.INTL(Tasks[[#This Row],[_LeafFcstFinish]],Tasks[[#This Row],[_AlapShift]],WorkWeek,Holidays)))</f>
        <v/>
      </c>
      <c r="DJ23" s="101" t="str">
        <f aca="false">IF(Tasks[[#This Row],[Task Name]]="","",IF(Tasks[[#This Row],[_IsSummary]],MIN(INDEX(Tasks[_ShownCalcStart],Tasks[[#This Row],[_Row]]+1):INDEX(Tasks[_ShownCalcStart],Tasks[[#This Row],[_Row]]+Tasks[[#This Row],[_Descendants]])),Tasks[[#This Row],[_ShownCalcStart]]))</f>
        <v/>
      </c>
      <c r="DK23" s="101" t="str">
        <f aca="false">IF(Tasks[[#This Row],[Task Name]]="","",IF(Tasks[[#This Row],[_IsSummary]],MAX(INDEX(Tasks[_ShownCalcFinish],Tasks[[#This Row],[_Row]]+1):INDEX(Tasks[_ShownCalcFinish],Tasks[[#This Row],[_Row]]+Tasks[[#This Row],[_Descendants]])),Tasks[[#This Row],[_ShownCalcFinish]]))</f>
        <v/>
      </c>
      <c r="D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3" s="41" t="n">
        <f aca="false">IF(AND(Tasks[[#This Row],[_IsLeaf]]=1,Tasks[[#This Row],[_LeafTotalWork]]&gt;0),NETWORKDAYS.INTL(ProjectStart,Tasks[[#This Row],[_ShownFcstStart]],WorkWeek,Holidays),0)</f>
        <v>0</v>
      </c>
      <c r="DY23" s="41" t="n">
        <f aca="false">IF(AND(Tasks[[#This Row],[_IsLeaf]]=1,Tasks[[#This Row],[_LeafTotalWork]]&gt;0),MAX(Tasks[[#This Row],[_StartWorkday]],NETWORKDAYS.INTL(ProjectStart,Tasks[[#This Row],[_ShownFcstFinish]],WorkWeek,Holidays)),0)</f>
        <v>0</v>
      </c>
      <c r="DZ23" s="41" t="n">
        <f aca="false">IF(AND(Tasks[[#This Row],[_IsLeaf]]=1,Tasks[[#This Row],[_LeafTotalWork]]&gt;0),Tasks[[#This Row],[_LeafWork]]/(Tasks[[#This Row],[_FinishWorkday]]-Tasks[[#This Row],[_StartWorkday]]+1),0)</f>
        <v>0</v>
      </c>
      <c r="EA23" s="41" t="n">
        <f aca="false">Tasks[[#This Row],[_WorkPerWorkday]]*(Tasks[[#This Row],[_StartWorkday]]-1)</f>
        <v>-0</v>
      </c>
      <c r="EB23" s="41" t="n">
        <f aca="false">IF(Tasks[[#This Row],[_IsLeaf]]=1,MAX(N(Tasks[[#This Row],[Duration]]),0.1),0)</f>
        <v>0</v>
      </c>
      <c r="EC23" s="41" t="n">
        <f aca="false">Tasks[[#This Row],[_WeightDur]]*Tasks[[#This Row],[_LeafProgress]]</f>
        <v>0</v>
      </c>
      <c r="ED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3" s="41" t="str">
        <f aca="false">IF(AND(Tasks[[#This Row],[_IsLeaf]]=1,N(Tasks[[#This Row],[Duration]])=0,Tasks[[#This Row],[_LeafProgress]]&lt;1),Tasks[[#This Row],[_ShownFcstFinish]]+Tasks[[#This Row],[_Row]]/100000,"")</f>
        <v/>
      </c>
      <c r="EF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3" s="41" t="n">
        <f aca="false">IF(NOT(Tasks[[#This Row],[_IsLeaf]]=1),0,IF(Tasks[[#This Row],[Baseline Cost]]="",Tasks[[#This Row],[_LeafTotalCost]],N(Tasks[[#This Row],[Baseline Cost]])))</f>
        <v>0</v>
      </c>
      <c r="EH23" s="41" t="n">
        <f aca="false">Tasks[[#This Row],[_LeafBudget]]*Tasks[[#This Row],[_PlannedPct]]</f>
        <v>0</v>
      </c>
      <c r="EI23" s="41" t="n">
        <f aca="false">Tasks[[#This Row],[_LeafBudget]]*Tasks[[#This Row],[_LeafProgress]]</f>
        <v>0</v>
      </c>
      <c r="EJ23" s="41" t="n">
        <f aca="false">IF(NOT(Tasks[[#This Row],[_IsLeaf]]=1),0,IF(Tasks[[#This Row],[Actual Cost]]="",Tasks[[#This Row],[_LeafTotalCost]]*Tasks[[#This Row],[_LeafProgress]],N(Tasks[[#This Row],[Actual Cost]])))</f>
        <v>0</v>
      </c>
      <c r="EK23" s="41" t="str">
        <f aca="false">IF(Tasks[[#This Row],[Task Name]]="","",LEFT(Tasks[[#This Row],[WBS]],FIND(".",Tasks[[#This Row],[WBS]]&amp;".")-1))</f>
        <v/>
      </c>
      <c r="EL23" s="41" t="str">
        <f aca="false">IF(AND(Tasks[[#This Row],[Task Name]]&lt;&gt;"",Tasks[[#This Row],[_Level]]=1),Tasks[[#This Row],[_Row]],"")</f>
        <v/>
      </c>
      <c r="EM23" s="41" t="str">
        <f aca="false">IF(AND(Tasks[[#This Row],[_IsLeaf]]=1,N(Tasks[[#This Row],[Duration]])=0),Tasks[[#This Row],[Planned Finish]]+Tasks[[#This Row],[_Row]]/100000,"")</f>
        <v/>
      </c>
      <c r="EN23" s="41" t="str">
        <f aca="false">IF(AND(Tasks[[#This Row],[_IsLeaf]]=1,Tasks[[#This Row],[_LeafProgress]]&lt;1,OR(N(Tasks[[#This Row],[Finish Var]])&gt;0,Tasks[[#This Row],[Status]]="Late Start")),MAX(0,Tasks[[#This Row],[Finish Var]])+1-Tasks[[#This Row],[_Row]]/1000000,"")</f>
        <v/>
      </c>
      <c r="EO23" s="41" t="str">
        <f aca="false">IF(AND(Tasks[[#This Row],[_IsLeaf]]=1,N(Tasks[[#This Row],[Actual Start]])=0,Tasks[[#This Row],[_ShownFcstStart]]&gt;=StatusDate,Tasks[[#This Row],[_ShownFcstStart]]&lt;=LookaheadEnd),Tasks[[#This Row],[_ShownFcstStart]]+Tasks[[#This Row],[_Row]]/100000,"")</f>
        <v/>
      </c>
      <c r="EP23" s="41" t="str">
        <f aca="false">IF(AND(Tasks[[#This Row],[_IsLeaf]]=1,Tasks[[#This Row],[_LeafProgress]]&lt;1,Tasks[[#This Row],[_ShownFcstFinish]]&gt;=StatusDate,Tasks[[#This Row],[_ShownFcstFinish]]&lt;=LookaheadEnd),Tasks[[#This Row],[_ShownFcstFinish]]+Tasks[[#This Row],[_Row]]/100000,"")</f>
        <v/>
      </c>
      <c r="EQ23" s="41" t="str">
        <f aca="false">IF(Tasks[[#This Row],[_LeafCritical]],Tasks[[#This Row],[_ShownFcstStart]]+Tasks[[#This Row],[_Row]]/100000,"")</f>
        <v/>
      </c>
      <c r="ER23" s="41" t="n">
        <f aca="false">Tasks[[#This Row],[_LeafWork]]*Tasks[[#This Row],[_LeafProgress]]</f>
        <v>0</v>
      </c>
      <c r="ES23" s="101" t="str">
        <f aca="false">IF(AND(Tasks[[#This Row],[_IsLeaf]]=1,Tasks[[#This Row],[_LeafProgress]]&gt;=1),IF(N(Tasks[[#This Row],[Actual Finish]])&gt;0,Tasks[[#This Row],[Actual Finish]],Tasks[[#This Row],[_ShownFcstFinish]]),"")</f>
        <v/>
      </c>
      <c r="ET23" s="41" t="n">
        <f aca="false">IF(Tasks[[#This Row],[_IsLeaf]]=1,N(Tasks[[#This Row],[Story Points]]),0)</f>
        <v>0</v>
      </c>
      <c r="EU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29"/>
      <c r="O24" s="29"/>
      <c r="P24" s="29"/>
      <c r="Q24" s="29"/>
      <c r="R24" s="29"/>
      <c r="S24" s="29"/>
      <c r="T24" s="30"/>
      <c r="U24" s="75"/>
      <c r="V24" s="75"/>
      <c r="W24" s="25" t="str">
        <f aca="false">IF(Tasks[[#This Row],[Task Name]]="","",IF(N(Tasks[[#This Row],[Baseline Start]])&gt;0,Tasks[[#This Row],[Baseline Start]],Tasks[[#This Row],[_CalcStart]]))</f>
        <v/>
      </c>
      <c r="X24" s="25" t="str">
        <f aca="false">IF(Tasks[[#This Row],[Task Name]]="","",IF(N(Tasks[[#This Row],[Baseline Finish]])&gt;0,Tasks[[#This Row],[Baseline Finish]],Tasks[[#This Row],[_CalcFinish]]))</f>
        <v/>
      </c>
      <c r="Y24" s="75"/>
      <c r="Z24" s="75"/>
      <c r="AA24" s="25" t="str">
        <f aca="false">IF(Tasks[[#This Row],[Task Name]]="","",IF(Tasks[[#This Row],[_IsSummary]],MIN(INDEX(Tasks[_ShownFcstStart],Tasks[[#This Row],[_Row]]+1):INDEX(Tasks[_ShownFcstStart],Tasks[[#This Row],[_Row]]+Tasks[[#This Row],[_Descendants]])),Tasks[[#This Row],[_ShownFcstStart]]))</f>
        <v/>
      </c>
      <c r="AB24" s="25" t="str">
        <f aca="false">IF(Tasks[[#This Row],[Task Name]]="","",IF(Tasks[[#This Row],[_IsSummary]],MAX(INDEX(Tasks[_ShownFcstFinish],Tasks[[#This Row],[_Row]]+1):INDEX(Tasks[_ShownFcstFinish],Tasks[[#This Row],[_Row]]+Tasks[[#This Row],[_Descendants]])),Tasks[[#This Row],[_ShownFcstFinish]]))</f>
        <v/>
      </c>
      <c r="AC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4" s="25" t="str">
        <f aca="false">IF(Tasks[[#This Row],[Task Name]]="","",IF(Tasks[[#This Row],[_IsSummary]],MIN(INDEX(Tasks[_LeafLateStart],Tasks[[#This Row],[_Row]]+1):INDEX(Tasks[_LeafLateStart],Tasks[[#This Row],[_Row]]+Tasks[[#This Row],[_Descendants]])),Tasks[[#This Row],[_LeafLateStart]]))</f>
        <v/>
      </c>
      <c r="AF24" s="25" t="str">
        <f aca="false">IF(Tasks[[#This Row],[Task Name]]="","",IF(Tasks[[#This Row],[_IsSummary]],MAX(INDEX(Tasks[_LeafLateFinish],Tasks[[#This Row],[_Row]]+1):INDEX(Tasks[_LeafLateFinish],Tasks[[#This Row],[_Row]]+Tasks[[#This Row],[_Descendants]])),Tasks[[#This Row],[_LeafLateFinish]]))</f>
        <v/>
      </c>
      <c r="AG24" s="28" t="str">
        <f aca="false">IF(Tasks[[#This Row],[Task Name]]="","",IF(Tasks[[#This Row],[_IsSummary]],MIN(INDEX(Tasks[_LeafTotalSlack],Tasks[[#This Row],[_Row]]+1):INDEX(Tasks[_LeafTotalSlack],Tasks[[#This Row],[_Row]]+Tasks[[#This Row],[_Descendants]])),Tasks[[#This Row],[_LeafTotalSlack]]))</f>
        <v/>
      </c>
      <c r="AH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4" s="28" t="str">
        <f aca="false">IF(Tasks[[#This Row],[Task Name]]="","",IF(IF(Tasks[[#This Row],[_IsSummary]],COUNTIF(INDEX(Tasks[_LeafCritical],Tasks[[#This Row],[_Row]]+1):INDEX(Tasks[_LeafCritical],Tasks[[#This Row],[_Row]]+Tasks[[#This Row],[_Descendants]]),TRUE())&gt;0,Tasks[[#This Row],[_LeafCritical]]),"Yes",""))</f>
        <v/>
      </c>
      <c r="AJ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4" s="89"/>
      <c r="AM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4" s="28" t="str">
        <f aca="false">IF(Tasks[[#This Row],[Task Name]]="","",IF(Tasks[[#This Row],[Progress]]&gt;=1,"Complete",IF(OR(N(Tasks[[#This Row],[Actual Start]])&gt;0,Tasks[[#This Row],[Progress]]&gt;0),IF(Tasks[[#This Row],[Finish Var]]&gt;0,"Behind","In Progress"),IF(Tasks[[#This Row],[Planned Start]]&lt;StatusDate,"Late Start","Not Started"))))</f>
        <v/>
      </c>
      <c r="AO24" s="30"/>
      <c r="AP24" s="89"/>
      <c r="AQ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4" s="96" t="str">
        <f aca="false">IF(Tasks[[#This Row],[Task Name]]="","",IF(Tasks[[#This Row],[_IsSummary]],SUM(INDEX(Tasks[_LeafTotalWork],Tasks[[#This Row],[_Row]]+1):INDEX(Tasks[_LeafTotalWork],Tasks[[#This Row],[_Row]]+Tasks[[#This Row],[_Descendants]])),Tasks[[#This Row],[_LeafTotalWork]]))</f>
        <v/>
      </c>
      <c r="AT24" s="97" t="str">
        <f aca="false">IF(Tasks[[#This Row],[Task Name]]="","",IF(Tasks[[#This Row],[_IsSummary]],SUM(INDEX(Tasks[_LeafTotalCost],Tasks[[#This Row],[_Row]]+1):INDEX(Tasks[_LeafTotalCost],Tasks[[#This Row],[_Row]]+Tasks[[#This Row],[_Descendants]])),Tasks[[#This Row],[_LeafTotalCost]]))</f>
        <v/>
      </c>
      <c r="AU24" s="98"/>
      <c r="AV24" s="29"/>
      <c r="AW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4" s="83"/>
      <c r="AY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4" s="30"/>
      <c r="BA24" s="25" t="str">
        <f aca="false">IF(Tasks[[#This Row],[Task Name]]="","",Tasks[[#This Row],[Forecast Start]])</f>
        <v/>
      </c>
      <c r="BB24" s="25" t="str">
        <f aca="false">IF(Tasks[[#This Row],[Task Name]]="","",Tasks[[#This Row],[Forecast Finish]])</f>
        <v/>
      </c>
      <c r="BC24" s="28" t="str">
        <f aca="false">IF(Tasks[[#This Row],[Task Name]]="","",IF(Tasks[[#This Row],[_IsSummary]],NETWORKDAYS.INTL(Tasks[[#This Row],[Forecast Start]],Tasks[[#This Row],[Forecast Finish]],WorkWeek,Holidays),N(Tasks[[#This Row],[Duration]])))</f>
        <v/>
      </c>
      <c r="BD24" s="96" t="str">
        <f aca="false">IF(Tasks[[#This Row],[Task Name]]="","",Tasks[[#This Row],[Work]])</f>
        <v/>
      </c>
      <c r="BE24" s="97" t="str">
        <f aca="false">IF(Tasks[[#This Row],[Task Name]]="","",Tasks[[#This Row],[Cost]])</f>
        <v/>
      </c>
      <c r="BF24" s="75"/>
      <c r="BG24" s="75"/>
      <c r="BH24" s="29"/>
      <c r="BI24" s="99"/>
      <c r="BJ24" s="98"/>
      <c r="BK24" s="28" t="str">
        <f aca="false">IF(OR(Tasks[[#This Row],[Task Name]]="",Tasks[[#This Row],[Baseline Duration]]=""),"",Tasks[[#This Row],[BL Source Duration]]-N(Tasks[[#This Row],[Baseline Duration]]))</f>
        <v/>
      </c>
      <c r="BL24" s="96" t="str">
        <f aca="false">IF(OR(Tasks[[#This Row],[Task Name]]="",Tasks[[#This Row],[Baseline Work]]=""),"",Tasks[[#This Row],[Work]]-N(Tasks[[#This Row],[Baseline Work]]))</f>
        <v/>
      </c>
      <c r="BM24" s="97" t="str">
        <f aca="false">IF(OR(Tasks[[#This Row],[Task Name]]="",Tasks[[#This Row],[Baseline Cost]]=""),"",Tasks[[#This Row],[Cost]]-N(Tasks[[#This Row],[Baseline Cost]]))</f>
        <v/>
      </c>
      <c r="BN24" s="97" t="str">
        <f aca="false">IF(Tasks[[#This Row],[Task Name]]="","",IF(Tasks[[#This Row],[_IsSummary]],SUM(INDEX(Tasks[_LeafBudget],Tasks[[#This Row],[_Row]]+1):INDEX(Tasks[_LeafBudget],Tasks[[#This Row],[_Row]]+Tasks[[#This Row],[_Descendants]])),Tasks[[#This Row],[_LeafBudget]]))</f>
        <v/>
      </c>
      <c r="BO24" s="97" t="str">
        <f aca="false">IF(Tasks[[#This Row],[Task Name]]="","",IF(Tasks[[#This Row],[_IsSummary]],SUM(INDEX(Tasks[_LeafPV],Tasks[[#This Row],[_Row]]+1):INDEX(Tasks[_LeafPV],Tasks[[#This Row],[_Row]]+Tasks[[#This Row],[_Descendants]])),Tasks[[#This Row],[_LeafPV]]))</f>
        <v/>
      </c>
      <c r="BP24" s="97" t="str">
        <f aca="false">IF(Tasks[[#This Row],[Task Name]]="","",IF(Tasks[[#This Row],[_IsSummary]],SUM(INDEX(Tasks[_LeafEV],Tasks[[#This Row],[_Row]]+1):INDEX(Tasks[_LeafEV],Tasks[[#This Row],[_Row]]+Tasks[[#This Row],[_Descendants]])),Tasks[[#This Row],[_LeafEV]]))</f>
        <v/>
      </c>
      <c r="BQ24" s="97" t="str">
        <f aca="false">IF(Tasks[[#This Row],[Task Name]]="","",IF(Tasks[[#This Row],[_IsSummary]],SUM(INDEX(Tasks[_LeafAC],Tasks[[#This Row],[_Row]]+1):INDEX(Tasks[_LeafAC],Tasks[[#This Row],[_Row]]+Tasks[[#This Row],[_Descendants]])),Tasks[[#This Row],[_LeafAC]]))</f>
        <v/>
      </c>
      <c r="BR24" s="41" t="str">
        <f aca="false">IF(Tasks[[#This Row],[Task Name]]="","",MAX(1,N(Tasks[[#This Row],[Level]])))</f>
        <v/>
      </c>
      <c r="BS24" s="41" t="n">
        <f aca="false">ROW()-ROW(Tasks[[#Headers],[ID]])</f>
        <v>19</v>
      </c>
      <c r="BT24" s="41" t="n">
        <f aca="false">IF(OR(Tasks[[#This Row],[Task Name]]="",Tasks[[#This Row],[_Level]]&lt;=1),0,IFERROR(LOOKUP(2,1/(Tasks[[#Headers],[_Level]]:Tasks[[#This Row],[_Level]]=Tasks[[#This Row],[_Level]]-1),ROW(Tasks[[#Headers],[_Level]]:Tasks[[#This Row],[_Level]])),0))</f>
        <v>0</v>
      </c>
      <c r="BU24" s="41" t="n">
        <f aca="false">IFERROR(N(INDEX(Tasks[_Level],Tasks[[#This Row],[_Row]]+1)),0)</f>
        <v>0</v>
      </c>
      <c r="BV24" s="100" t="b">
        <f aca="false">AND(Tasks[[#This Row],[Task Name]]&lt;&gt;"",Tasks[[#This Row],[_NextLevel]]&gt;Tasks[[#This Row],[_Level]])</f>
        <v>0</v>
      </c>
      <c r="BW24" s="41" t="n">
        <f aca="false">IF(Tasks[[#This Row],[_IsSummary]],COUNTIF(Tasks[WBS],Tasks[[#This Row],[WBS]]&amp;".*"),0)</f>
        <v>0</v>
      </c>
      <c r="BX24" s="41" t="n">
        <f aca="false">IF(AND(Tasks[[#This Row],[Task Name]]&lt;&gt;"",NOT(Tasks[[#This Row],[_IsSummary]])),1,0)</f>
        <v>0</v>
      </c>
      <c r="BY24" s="41" t="n">
        <f aca="false">IF(N(Tasks[[#This Row],[Pred1 UID]])=0,0,IFERROR(MATCH(Tasks[[#This Row],[Pred1 UID]],Tasks[UID],0),-1))</f>
        <v>0</v>
      </c>
      <c r="BZ24" s="41" t="n">
        <f aca="false">IF(N(Tasks[[#This Row],[Pred2 UID]])=0,0,IFERROR(MATCH(Tasks[[#This Row],[Pred2 UID]],Tasks[UID],0),-1))</f>
        <v>0</v>
      </c>
      <c r="CA24" s="41" t="n">
        <f aca="false">IF(N(Tasks[[#This Row],[Pred3 UID]])=0,0,IFERROR(MATCH(Tasks[[#This Row],[Pred3 UID]],Tasks[UID],0),-1))</f>
        <v>0</v>
      </c>
      <c r="CB24" s="41" t="n">
        <f aca="false">IF(N(Tasks[[#This Row],[Pred4 UID]])=0,0,IFERROR(MATCH(Tasks[[#This Row],[Pred4 UID]],Tasks[UID],0),-1))</f>
        <v>0</v>
      </c>
      <c r="CC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4" s="101" t="n">
        <f aca="false">IF(OR(Tasks[[#This Row],[_ConstraintCode]]=2,Tasks[[#This Row],[_ConstraintCode]]=3,Tasks[[#This Row],[_ConstraintCode]]=4,Tasks[[#This Row],[_ConstraintCode]]=6),Tasks[[#This Row],[_ConstraintStart]],0)</f>
        <v>0</v>
      </c>
      <c r="CF24" s="101" t="n">
        <f aca="false">IF(OR(Tasks[[#This Row],[_ConstraintCode]]=2,Tasks[[#This Row],[_ConstraintCode]]=3,Tasks[[#This Row],[_ConstraintCode]]=5,Tasks[[#This Row],[_ConstraintCode]]=7),Tasks[[#This Row],[_ConstraintStart]],2958465)</f>
        <v>2958465</v>
      </c>
      <c r="CG2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4" s="101" t="str">
        <f aca="false">IF(NOT(Tasks[[#This Row],[_IsLeaf]]=1),"",IF(N(Tasks[[#This Row],[Duration]])&lt;=0,Tasks[[#This Row],[_LeafCalcStart]],WORKDAY.INTL(Tasks[[#This Row],[_LeafCalcStart]],Tasks[[#This Row],[Duration]]-1,WorkWeek,Holidays)))</f>
        <v/>
      </c>
      <c r="CI2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4" s="41" t="n">
        <f aca="false">IF(NOT(Tasks[[#This Row],[_IsLeaf]]=1),0,IF(N(Tasks[[#This Row],[Actual Finish]])&gt;0,1,MIN(1,N(Tasks[[#This Row],[% Complete]]))))</f>
        <v>0</v>
      </c>
      <c r="CL24" s="41" t="n">
        <f aca="false">IF(OR(NOT(Tasks[[#This Row],[_IsLeaf]]=1),Tasks[[#This Row],[Resource]]=""),0,N(Tasks[[#This Row],[Duration]])*HoursPerDay*IF(Tasks[[#This Row],[Units]]="",DefaultUnits,Tasks[[#This Row],[Units]]))</f>
        <v>0</v>
      </c>
      <c r="CM24" s="41" t="n">
        <f aca="false">IF(Tasks[[#This Row],[_LeafWork]]=0,0,Tasks[[#This Row],[_LeafWork]]*IFERROR(INDEX(res_Rate,MATCH(Tasks[[#This Row],[Resource]],res_Name,0)),0))</f>
        <v>0</v>
      </c>
      <c r="CN24" s="41" t="n">
        <f aca="false">Tasks[[#This Row],[_LeafWork]]+IF(Tasks[[#This Row],[_IsLeaf]]=1,SUMIFS(asg_Work,asg_TaskUID,Tasks[[#This Row],[UID]],asg_Valid,1),0)</f>
        <v>0</v>
      </c>
      <c r="CO24" s="41" t="n">
        <f aca="false">Tasks[[#This Row],[_LeafCost]]+IF(Tasks[[#This Row],[_IsLeaf]]=1,SUMIFS(asg_Cost,asg_TaskUID,Tasks[[#This Row],[UID]],asg_Valid,1),0)</f>
        <v>0</v>
      </c>
      <c r="CP24" s="41" t="n">
        <f aca="false">IF(Tasks[[#This Row],[_LeafTotalCost]]=0,Tasks[[#This Row],[_LeafAC]],Tasks[[#This Row],[_LeafAC]]*Tasks[[#This Row],[_LeafCost]]/Tasks[[#This Row],[_LeafTotalCost]])</f>
        <v>0</v>
      </c>
      <c r="CQ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4" s="41" t="n">
        <f aca="false">IF(NOT(Tasks[[#This Row],[_IsLeaf]]=1),0,MAX(_xlfn.MAXIFS(Tasks[_Row],Tasks[Pred1 UID],Tasks[[#This Row],[UID]]),_xlfn.MAXIFS(Tasks[_Row],Tasks[Pred2 UID],Tasks[[#This Row],[UID]]),_xlfn.MAXIFS(Tasks[_Row],Tasks[Pred3 UID],Tasks[[#This Row],[UID]]),_xlfn.MAXIFS(Tasks[_Row],Tasks[Pred4 UID],Tasks[[#This Row],[UID]])))</f>
        <v>0</v>
      </c>
      <c r="CZ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4" s="101" t="str">
        <f aca="false">IF(NOT(Tasks[[#This Row],[_IsLeaf]]=1),"",IF(N(Tasks[[#This Row],[Duration]])&lt;=0,Tasks[[#This Row],[_LeafLateFinish]],WORKDAY.INTL(Tasks[[#This Row],[_LeafLateFinish]],-(Tasks[[#This Row],[Duration]]-1),WorkWeek,Holidays)))</f>
        <v/>
      </c>
      <c r="DC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4" s="100" t="b">
        <f aca="false">AND(Tasks[[#This Row],[_IsLeaf]]=1,Tasks[[#This Row],[_LeafProgress]]&lt;1,N(Tasks[[#This Row],[_LeafTotalSlack]])&lt;=CriticalSlackDays)</f>
        <v>0</v>
      </c>
      <c r="DE24" s="41" t="n">
        <f aca="false">IF(AND(Tasks[[#This Row],[_IsLeaf]]=1,Tasks[[#This Row],[_ConstraintCode]]=1,Tasks[[#This Row],[Mode]]&lt;&gt;"Manual",N(Tasks[[#This Row],[Actual Start]])=0),MAX(0,N(Tasks[[#This Row],[Free Slack]])),0)</f>
        <v>0</v>
      </c>
      <c r="DF24" s="101" t="str">
        <f aca="false">IF(NOT(Tasks[[#This Row],[_IsLeaf]]=1),"",IF(Tasks[[#This Row],[_AlapShift]]=0,Tasks[[#This Row],[_LeafCalcStart]],WORKDAY.INTL(Tasks[[#This Row],[_LeafCalcStart]],Tasks[[#This Row],[_AlapShift]],WorkWeek,Holidays)))</f>
        <v/>
      </c>
      <c r="DG24" s="101" t="str">
        <f aca="false">IF(NOT(Tasks[[#This Row],[_IsLeaf]]=1),"",IF(Tasks[[#This Row],[_AlapShift]]=0,Tasks[[#This Row],[_LeafCalcFinish]],WORKDAY.INTL(Tasks[[#This Row],[_LeafCalcFinish]],Tasks[[#This Row],[_AlapShift]],WorkWeek,Holidays)))</f>
        <v/>
      </c>
      <c r="DH24" s="101" t="str">
        <f aca="false">IF(NOT(Tasks[[#This Row],[_IsLeaf]]=1),"",IF(Tasks[[#This Row],[_AlapShift]]=0,Tasks[[#This Row],[_LeafFcstStart]],WORKDAY.INTL(Tasks[[#This Row],[_LeafFcstStart]],Tasks[[#This Row],[_AlapShift]],WorkWeek,Holidays)))</f>
        <v/>
      </c>
      <c r="DI24" s="101" t="str">
        <f aca="false">IF(NOT(Tasks[[#This Row],[_IsLeaf]]=1),"",IF(Tasks[[#This Row],[_AlapShift]]=0,Tasks[[#This Row],[_LeafFcstFinish]],WORKDAY.INTL(Tasks[[#This Row],[_LeafFcstFinish]],Tasks[[#This Row],[_AlapShift]],WorkWeek,Holidays)))</f>
        <v/>
      </c>
      <c r="DJ24" s="101" t="str">
        <f aca="false">IF(Tasks[[#This Row],[Task Name]]="","",IF(Tasks[[#This Row],[_IsSummary]],MIN(INDEX(Tasks[_ShownCalcStart],Tasks[[#This Row],[_Row]]+1):INDEX(Tasks[_ShownCalcStart],Tasks[[#This Row],[_Row]]+Tasks[[#This Row],[_Descendants]])),Tasks[[#This Row],[_ShownCalcStart]]))</f>
        <v/>
      </c>
      <c r="DK24" s="101" t="str">
        <f aca="false">IF(Tasks[[#This Row],[Task Name]]="","",IF(Tasks[[#This Row],[_IsSummary]],MAX(INDEX(Tasks[_ShownCalcFinish],Tasks[[#This Row],[_Row]]+1):INDEX(Tasks[_ShownCalcFinish],Tasks[[#This Row],[_Row]]+Tasks[[#This Row],[_Descendants]])),Tasks[[#This Row],[_ShownCalcFinish]]))</f>
        <v/>
      </c>
      <c r="D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4" s="41" t="n">
        <f aca="false">IF(AND(Tasks[[#This Row],[_IsLeaf]]=1,Tasks[[#This Row],[_LeafTotalWork]]&gt;0),NETWORKDAYS.INTL(ProjectStart,Tasks[[#This Row],[_ShownFcstStart]],WorkWeek,Holidays),0)</f>
        <v>0</v>
      </c>
      <c r="DY24" s="41" t="n">
        <f aca="false">IF(AND(Tasks[[#This Row],[_IsLeaf]]=1,Tasks[[#This Row],[_LeafTotalWork]]&gt;0),MAX(Tasks[[#This Row],[_StartWorkday]],NETWORKDAYS.INTL(ProjectStart,Tasks[[#This Row],[_ShownFcstFinish]],WorkWeek,Holidays)),0)</f>
        <v>0</v>
      </c>
      <c r="DZ24" s="41" t="n">
        <f aca="false">IF(AND(Tasks[[#This Row],[_IsLeaf]]=1,Tasks[[#This Row],[_LeafTotalWork]]&gt;0),Tasks[[#This Row],[_LeafWork]]/(Tasks[[#This Row],[_FinishWorkday]]-Tasks[[#This Row],[_StartWorkday]]+1),0)</f>
        <v>0</v>
      </c>
      <c r="EA24" s="41" t="n">
        <f aca="false">Tasks[[#This Row],[_WorkPerWorkday]]*(Tasks[[#This Row],[_StartWorkday]]-1)</f>
        <v>-0</v>
      </c>
      <c r="EB24" s="41" t="n">
        <f aca="false">IF(Tasks[[#This Row],[_IsLeaf]]=1,MAX(N(Tasks[[#This Row],[Duration]]),0.1),0)</f>
        <v>0</v>
      </c>
      <c r="EC24" s="41" t="n">
        <f aca="false">Tasks[[#This Row],[_WeightDur]]*Tasks[[#This Row],[_LeafProgress]]</f>
        <v>0</v>
      </c>
      <c r="ED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4" s="41" t="str">
        <f aca="false">IF(AND(Tasks[[#This Row],[_IsLeaf]]=1,N(Tasks[[#This Row],[Duration]])=0,Tasks[[#This Row],[_LeafProgress]]&lt;1),Tasks[[#This Row],[_ShownFcstFinish]]+Tasks[[#This Row],[_Row]]/100000,"")</f>
        <v/>
      </c>
      <c r="EF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4" s="41" t="n">
        <f aca="false">IF(NOT(Tasks[[#This Row],[_IsLeaf]]=1),0,IF(Tasks[[#This Row],[Baseline Cost]]="",Tasks[[#This Row],[_LeafTotalCost]],N(Tasks[[#This Row],[Baseline Cost]])))</f>
        <v>0</v>
      </c>
      <c r="EH24" s="41" t="n">
        <f aca="false">Tasks[[#This Row],[_LeafBudget]]*Tasks[[#This Row],[_PlannedPct]]</f>
        <v>0</v>
      </c>
      <c r="EI24" s="41" t="n">
        <f aca="false">Tasks[[#This Row],[_LeafBudget]]*Tasks[[#This Row],[_LeafProgress]]</f>
        <v>0</v>
      </c>
      <c r="EJ24" s="41" t="n">
        <f aca="false">IF(NOT(Tasks[[#This Row],[_IsLeaf]]=1),0,IF(Tasks[[#This Row],[Actual Cost]]="",Tasks[[#This Row],[_LeafTotalCost]]*Tasks[[#This Row],[_LeafProgress]],N(Tasks[[#This Row],[Actual Cost]])))</f>
        <v>0</v>
      </c>
      <c r="EK24" s="41" t="str">
        <f aca="false">IF(Tasks[[#This Row],[Task Name]]="","",LEFT(Tasks[[#This Row],[WBS]],FIND(".",Tasks[[#This Row],[WBS]]&amp;".")-1))</f>
        <v/>
      </c>
      <c r="EL24" s="41" t="str">
        <f aca="false">IF(AND(Tasks[[#This Row],[Task Name]]&lt;&gt;"",Tasks[[#This Row],[_Level]]=1),Tasks[[#This Row],[_Row]],"")</f>
        <v/>
      </c>
      <c r="EM24" s="41" t="str">
        <f aca="false">IF(AND(Tasks[[#This Row],[_IsLeaf]]=1,N(Tasks[[#This Row],[Duration]])=0),Tasks[[#This Row],[Planned Finish]]+Tasks[[#This Row],[_Row]]/100000,"")</f>
        <v/>
      </c>
      <c r="EN24" s="41" t="str">
        <f aca="false">IF(AND(Tasks[[#This Row],[_IsLeaf]]=1,Tasks[[#This Row],[_LeafProgress]]&lt;1,OR(N(Tasks[[#This Row],[Finish Var]])&gt;0,Tasks[[#This Row],[Status]]="Late Start")),MAX(0,Tasks[[#This Row],[Finish Var]])+1-Tasks[[#This Row],[_Row]]/1000000,"")</f>
        <v/>
      </c>
      <c r="EO24" s="41" t="str">
        <f aca="false">IF(AND(Tasks[[#This Row],[_IsLeaf]]=1,N(Tasks[[#This Row],[Actual Start]])=0,Tasks[[#This Row],[_ShownFcstStart]]&gt;=StatusDate,Tasks[[#This Row],[_ShownFcstStart]]&lt;=LookaheadEnd),Tasks[[#This Row],[_ShownFcstStart]]+Tasks[[#This Row],[_Row]]/100000,"")</f>
        <v/>
      </c>
      <c r="EP24" s="41" t="str">
        <f aca="false">IF(AND(Tasks[[#This Row],[_IsLeaf]]=1,Tasks[[#This Row],[_LeafProgress]]&lt;1,Tasks[[#This Row],[_ShownFcstFinish]]&gt;=StatusDate,Tasks[[#This Row],[_ShownFcstFinish]]&lt;=LookaheadEnd),Tasks[[#This Row],[_ShownFcstFinish]]+Tasks[[#This Row],[_Row]]/100000,"")</f>
        <v/>
      </c>
      <c r="EQ24" s="41" t="str">
        <f aca="false">IF(Tasks[[#This Row],[_LeafCritical]],Tasks[[#This Row],[_ShownFcstStart]]+Tasks[[#This Row],[_Row]]/100000,"")</f>
        <v/>
      </c>
      <c r="ER24" s="41" t="n">
        <f aca="false">Tasks[[#This Row],[_LeafWork]]*Tasks[[#This Row],[_LeafProgress]]</f>
        <v>0</v>
      </c>
      <c r="ES24" s="101" t="str">
        <f aca="false">IF(AND(Tasks[[#This Row],[_IsLeaf]]=1,Tasks[[#This Row],[_LeafProgress]]&gt;=1),IF(N(Tasks[[#This Row],[Actual Finish]])&gt;0,Tasks[[#This Row],[Actual Finish]],Tasks[[#This Row],[_ShownFcstFinish]]),"")</f>
        <v/>
      </c>
      <c r="ET24" s="41" t="n">
        <f aca="false">IF(Tasks[[#This Row],[_IsLeaf]]=1,N(Tasks[[#This Row],[Story Points]]),0)</f>
        <v>0</v>
      </c>
      <c r="EU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29"/>
      <c r="O25" s="29"/>
      <c r="P25" s="29"/>
      <c r="Q25" s="29"/>
      <c r="R25" s="29"/>
      <c r="S25" s="29"/>
      <c r="T25" s="30"/>
      <c r="U25" s="75"/>
      <c r="V25" s="75"/>
      <c r="W25" s="25" t="str">
        <f aca="false">IF(Tasks[[#This Row],[Task Name]]="","",IF(N(Tasks[[#This Row],[Baseline Start]])&gt;0,Tasks[[#This Row],[Baseline Start]],Tasks[[#This Row],[_CalcStart]]))</f>
        <v/>
      </c>
      <c r="X25" s="25" t="str">
        <f aca="false">IF(Tasks[[#This Row],[Task Name]]="","",IF(N(Tasks[[#This Row],[Baseline Finish]])&gt;0,Tasks[[#This Row],[Baseline Finish]],Tasks[[#This Row],[_CalcFinish]]))</f>
        <v/>
      </c>
      <c r="Y25" s="75"/>
      <c r="Z25" s="75"/>
      <c r="AA25" s="25" t="str">
        <f aca="false">IF(Tasks[[#This Row],[Task Name]]="","",IF(Tasks[[#This Row],[_IsSummary]],MIN(INDEX(Tasks[_ShownFcstStart],Tasks[[#This Row],[_Row]]+1):INDEX(Tasks[_ShownFcstStart],Tasks[[#This Row],[_Row]]+Tasks[[#This Row],[_Descendants]])),Tasks[[#This Row],[_ShownFcstStart]]))</f>
        <v/>
      </c>
      <c r="AB25" s="25" t="str">
        <f aca="false">IF(Tasks[[#This Row],[Task Name]]="","",IF(Tasks[[#This Row],[_IsSummary]],MAX(INDEX(Tasks[_ShownFcstFinish],Tasks[[#This Row],[_Row]]+1):INDEX(Tasks[_ShownFcstFinish],Tasks[[#This Row],[_Row]]+Tasks[[#This Row],[_Descendants]])),Tasks[[#This Row],[_ShownFcstFinish]]))</f>
        <v/>
      </c>
      <c r="AC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5" s="25" t="str">
        <f aca="false">IF(Tasks[[#This Row],[Task Name]]="","",IF(Tasks[[#This Row],[_IsSummary]],MIN(INDEX(Tasks[_LeafLateStart],Tasks[[#This Row],[_Row]]+1):INDEX(Tasks[_LeafLateStart],Tasks[[#This Row],[_Row]]+Tasks[[#This Row],[_Descendants]])),Tasks[[#This Row],[_LeafLateStart]]))</f>
        <v/>
      </c>
      <c r="AF25" s="25" t="str">
        <f aca="false">IF(Tasks[[#This Row],[Task Name]]="","",IF(Tasks[[#This Row],[_IsSummary]],MAX(INDEX(Tasks[_LeafLateFinish],Tasks[[#This Row],[_Row]]+1):INDEX(Tasks[_LeafLateFinish],Tasks[[#This Row],[_Row]]+Tasks[[#This Row],[_Descendants]])),Tasks[[#This Row],[_LeafLateFinish]]))</f>
        <v/>
      </c>
      <c r="AG25" s="28" t="str">
        <f aca="false">IF(Tasks[[#This Row],[Task Name]]="","",IF(Tasks[[#This Row],[_IsSummary]],MIN(INDEX(Tasks[_LeafTotalSlack],Tasks[[#This Row],[_Row]]+1):INDEX(Tasks[_LeafTotalSlack],Tasks[[#This Row],[_Row]]+Tasks[[#This Row],[_Descendants]])),Tasks[[#This Row],[_LeafTotalSlack]]))</f>
        <v/>
      </c>
      <c r="AH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5" s="28" t="str">
        <f aca="false">IF(Tasks[[#This Row],[Task Name]]="","",IF(IF(Tasks[[#This Row],[_IsSummary]],COUNTIF(INDEX(Tasks[_LeafCritical],Tasks[[#This Row],[_Row]]+1):INDEX(Tasks[_LeafCritical],Tasks[[#This Row],[_Row]]+Tasks[[#This Row],[_Descendants]]),TRUE())&gt;0,Tasks[[#This Row],[_LeafCritical]]),"Yes",""))</f>
        <v/>
      </c>
      <c r="AJ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5" s="89"/>
      <c r="AM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5" s="28" t="str">
        <f aca="false">IF(Tasks[[#This Row],[Task Name]]="","",IF(Tasks[[#This Row],[Progress]]&gt;=1,"Complete",IF(OR(N(Tasks[[#This Row],[Actual Start]])&gt;0,Tasks[[#This Row],[Progress]]&gt;0),IF(Tasks[[#This Row],[Finish Var]]&gt;0,"Behind","In Progress"),IF(Tasks[[#This Row],[Planned Start]]&lt;StatusDate,"Late Start","Not Started"))))</f>
        <v/>
      </c>
      <c r="AO25" s="30"/>
      <c r="AP25" s="89"/>
      <c r="AQ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5" s="96" t="str">
        <f aca="false">IF(Tasks[[#This Row],[Task Name]]="","",IF(Tasks[[#This Row],[_IsSummary]],SUM(INDEX(Tasks[_LeafTotalWork],Tasks[[#This Row],[_Row]]+1):INDEX(Tasks[_LeafTotalWork],Tasks[[#This Row],[_Row]]+Tasks[[#This Row],[_Descendants]])),Tasks[[#This Row],[_LeafTotalWork]]))</f>
        <v/>
      </c>
      <c r="AT25" s="97" t="str">
        <f aca="false">IF(Tasks[[#This Row],[Task Name]]="","",IF(Tasks[[#This Row],[_IsSummary]],SUM(INDEX(Tasks[_LeafTotalCost],Tasks[[#This Row],[_Row]]+1):INDEX(Tasks[_LeafTotalCost],Tasks[[#This Row],[_Row]]+Tasks[[#This Row],[_Descendants]])),Tasks[[#This Row],[_LeafTotalCost]]))</f>
        <v/>
      </c>
      <c r="AU25" s="98"/>
      <c r="AV25" s="29"/>
      <c r="AW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5" s="83"/>
      <c r="AY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5" s="30"/>
      <c r="BA25" s="25" t="str">
        <f aca="false">IF(Tasks[[#This Row],[Task Name]]="","",Tasks[[#This Row],[Forecast Start]])</f>
        <v/>
      </c>
      <c r="BB25" s="25" t="str">
        <f aca="false">IF(Tasks[[#This Row],[Task Name]]="","",Tasks[[#This Row],[Forecast Finish]])</f>
        <v/>
      </c>
      <c r="BC25" s="28" t="str">
        <f aca="false">IF(Tasks[[#This Row],[Task Name]]="","",IF(Tasks[[#This Row],[_IsSummary]],NETWORKDAYS.INTL(Tasks[[#This Row],[Forecast Start]],Tasks[[#This Row],[Forecast Finish]],WorkWeek,Holidays),N(Tasks[[#This Row],[Duration]])))</f>
        <v/>
      </c>
      <c r="BD25" s="96" t="str">
        <f aca="false">IF(Tasks[[#This Row],[Task Name]]="","",Tasks[[#This Row],[Work]])</f>
        <v/>
      </c>
      <c r="BE25" s="97" t="str">
        <f aca="false">IF(Tasks[[#This Row],[Task Name]]="","",Tasks[[#This Row],[Cost]])</f>
        <v/>
      </c>
      <c r="BF25" s="75"/>
      <c r="BG25" s="75"/>
      <c r="BH25" s="29"/>
      <c r="BI25" s="99"/>
      <c r="BJ25" s="98"/>
      <c r="BK25" s="28" t="str">
        <f aca="false">IF(OR(Tasks[[#This Row],[Task Name]]="",Tasks[[#This Row],[Baseline Duration]]=""),"",Tasks[[#This Row],[BL Source Duration]]-N(Tasks[[#This Row],[Baseline Duration]]))</f>
        <v/>
      </c>
      <c r="BL25" s="96" t="str">
        <f aca="false">IF(OR(Tasks[[#This Row],[Task Name]]="",Tasks[[#This Row],[Baseline Work]]=""),"",Tasks[[#This Row],[Work]]-N(Tasks[[#This Row],[Baseline Work]]))</f>
        <v/>
      </c>
      <c r="BM25" s="97" t="str">
        <f aca="false">IF(OR(Tasks[[#This Row],[Task Name]]="",Tasks[[#This Row],[Baseline Cost]]=""),"",Tasks[[#This Row],[Cost]]-N(Tasks[[#This Row],[Baseline Cost]]))</f>
        <v/>
      </c>
      <c r="BN25" s="97" t="str">
        <f aca="false">IF(Tasks[[#This Row],[Task Name]]="","",IF(Tasks[[#This Row],[_IsSummary]],SUM(INDEX(Tasks[_LeafBudget],Tasks[[#This Row],[_Row]]+1):INDEX(Tasks[_LeafBudget],Tasks[[#This Row],[_Row]]+Tasks[[#This Row],[_Descendants]])),Tasks[[#This Row],[_LeafBudget]]))</f>
        <v/>
      </c>
      <c r="BO25" s="97" t="str">
        <f aca="false">IF(Tasks[[#This Row],[Task Name]]="","",IF(Tasks[[#This Row],[_IsSummary]],SUM(INDEX(Tasks[_LeafPV],Tasks[[#This Row],[_Row]]+1):INDEX(Tasks[_LeafPV],Tasks[[#This Row],[_Row]]+Tasks[[#This Row],[_Descendants]])),Tasks[[#This Row],[_LeafPV]]))</f>
        <v/>
      </c>
      <c r="BP25" s="97" t="str">
        <f aca="false">IF(Tasks[[#This Row],[Task Name]]="","",IF(Tasks[[#This Row],[_IsSummary]],SUM(INDEX(Tasks[_LeafEV],Tasks[[#This Row],[_Row]]+1):INDEX(Tasks[_LeafEV],Tasks[[#This Row],[_Row]]+Tasks[[#This Row],[_Descendants]])),Tasks[[#This Row],[_LeafEV]]))</f>
        <v/>
      </c>
      <c r="BQ25" s="97" t="str">
        <f aca="false">IF(Tasks[[#This Row],[Task Name]]="","",IF(Tasks[[#This Row],[_IsSummary]],SUM(INDEX(Tasks[_LeafAC],Tasks[[#This Row],[_Row]]+1):INDEX(Tasks[_LeafAC],Tasks[[#This Row],[_Row]]+Tasks[[#This Row],[_Descendants]])),Tasks[[#This Row],[_LeafAC]]))</f>
        <v/>
      </c>
      <c r="BR25" s="41" t="str">
        <f aca="false">IF(Tasks[[#This Row],[Task Name]]="","",MAX(1,N(Tasks[[#This Row],[Level]])))</f>
        <v/>
      </c>
      <c r="BS25" s="41" t="n">
        <f aca="false">ROW()-ROW(Tasks[[#Headers],[ID]])</f>
        <v>20</v>
      </c>
      <c r="BT25" s="41" t="n">
        <f aca="false">IF(OR(Tasks[[#This Row],[Task Name]]="",Tasks[[#This Row],[_Level]]&lt;=1),0,IFERROR(LOOKUP(2,1/(Tasks[[#Headers],[_Level]]:Tasks[[#This Row],[_Level]]=Tasks[[#This Row],[_Level]]-1),ROW(Tasks[[#Headers],[_Level]]:Tasks[[#This Row],[_Level]])),0))</f>
        <v>0</v>
      </c>
      <c r="BU25" s="41" t="n">
        <f aca="false">IFERROR(N(INDEX(Tasks[_Level],Tasks[[#This Row],[_Row]]+1)),0)</f>
        <v>0</v>
      </c>
      <c r="BV25" s="100" t="b">
        <f aca="false">AND(Tasks[[#This Row],[Task Name]]&lt;&gt;"",Tasks[[#This Row],[_NextLevel]]&gt;Tasks[[#This Row],[_Level]])</f>
        <v>0</v>
      </c>
      <c r="BW25" s="41" t="n">
        <f aca="false">IF(Tasks[[#This Row],[_IsSummary]],COUNTIF(Tasks[WBS],Tasks[[#This Row],[WBS]]&amp;".*"),0)</f>
        <v>0</v>
      </c>
      <c r="BX25" s="41" t="n">
        <f aca="false">IF(AND(Tasks[[#This Row],[Task Name]]&lt;&gt;"",NOT(Tasks[[#This Row],[_IsSummary]])),1,0)</f>
        <v>0</v>
      </c>
      <c r="BY25" s="41" t="n">
        <f aca="false">IF(N(Tasks[[#This Row],[Pred1 UID]])=0,0,IFERROR(MATCH(Tasks[[#This Row],[Pred1 UID]],Tasks[UID],0),-1))</f>
        <v>0</v>
      </c>
      <c r="BZ25" s="41" t="n">
        <f aca="false">IF(N(Tasks[[#This Row],[Pred2 UID]])=0,0,IFERROR(MATCH(Tasks[[#This Row],[Pred2 UID]],Tasks[UID],0),-1))</f>
        <v>0</v>
      </c>
      <c r="CA25" s="41" t="n">
        <f aca="false">IF(N(Tasks[[#This Row],[Pred3 UID]])=0,0,IFERROR(MATCH(Tasks[[#This Row],[Pred3 UID]],Tasks[UID],0),-1))</f>
        <v>0</v>
      </c>
      <c r="CB25" s="41" t="n">
        <f aca="false">IF(N(Tasks[[#This Row],[Pred4 UID]])=0,0,IFERROR(MATCH(Tasks[[#This Row],[Pred4 UID]],Tasks[UID],0),-1))</f>
        <v>0</v>
      </c>
      <c r="CC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5" s="101" t="n">
        <f aca="false">IF(OR(Tasks[[#This Row],[_ConstraintCode]]=2,Tasks[[#This Row],[_ConstraintCode]]=3,Tasks[[#This Row],[_ConstraintCode]]=4,Tasks[[#This Row],[_ConstraintCode]]=6),Tasks[[#This Row],[_ConstraintStart]],0)</f>
        <v>0</v>
      </c>
      <c r="CF25" s="101" t="n">
        <f aca="false">IF(OR(Tasks[[#This Row],[_ConstraintCode]]=2,Tasks[[#This Row],[_ConstraintCode]]=3,Tasks[[#This Row],[_ConstraintCode]]=5,Tasks[[#This Row],[_ConstraintCode]]=7),Tasks[[#This Row],[_ConstraintStart]],2958465)</f>
        <v>2958465</v>
      </c>
      <c r="CG2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5" s="101" t="str">
        <f aca="false">IF(NOT(Tasks[[#This Row],[_IsLeaf]]=1),"",IF(N(Tasks[[#This Row],[Duration]])&lt;=0,Tasks[[#This Row],[_LeafCalcStart]],WORKDAY.INTL(Tasks[[#This Row],[_LeafCalcStart]],Tasks[[#This Row],[Duration]]-1,WorkWeek,Holidays)))</f>
        <v/>
      </c>
      <c r="CI2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5" s="41" t="n">
        <f aca="false">IF(NOT(Tasks[[#This Row],[_IsLeaf]]=1),0,IF(N(Tasks[[#This Row],[Actual Finish]])&gt;0,1,MIN(1,N(Tasks[[#This Row],[% Complete]]))))</f>
        <v>0</v>
      </c>
      <c r="CL25" s="41" t="n">
        <f aca="false">IF(OR(NOT(Tasks[[#This Row],[_IsLeaf]]=1),Tasks[[#This Row],[Resource]]=""),0,N(Tasks[[#This Row],[Duration]])*HoursPerDay*IF(Tasks[[#This Row],[Units]]="",DefaultUnits,Tasks[[#This Row],[Units]]))</f>
        <v>0</v>
      </c>
      <c r="CM25" s="41" t="n">
        <f aca="false">IF(Tasks[[#This Row],[_LeafWork]]=0,0,Tasks[[#This Row],[_LeafWork]]*IFERROR(INDEX(res_Rate,MATCH(Tasks[[#This Row],[Resource]],res_Name,0)),0))</f>
        <v>0</v>
      </c>
      <c r="CN25" s="41" t="n">
        <f aca="false">Tasks[[#This Row],[_LeafWork]]+IF(Tasks[[#This Row],[_IsLeaf]]=1,SUMIFS(asg_Work,asg_TaskUID,Tasks[[#This Row],[UID]],asg_Valid,1),0)</f>
        <v>0</v>
      </c>
      <c r="CO25" s="41" t="n">
        <f aca="false">Tasks[[#This Row],[_LeafCost]]+IF(Tasks[[#This Row],[_IsLeaf]]=1,SUMIFS(asg_Cost,asg_TaskUID,Tasks[[#This Row],[UID]],asg_Valid,1),0)</f>
        <v>0</v>
      </c>
      <c r="CP25" s="41" t="n">
        <f aca="false">IF(Tasks[[#This Row],[_LeafTotalCost]]=0,Tasks[[#This Row],[_LeafAC]],Tasks[[#This Row],[_LeafAC]]*Tasks[[#This Row],[_LeafCost]]/Tasks[[#This Row],[_LeafTotalCost]])</f>
        <v>0</v>
      </c>
      <c r="CQ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5" s="41" t="n">
        <f aca="false">IF(NOT(Tasks[[#This Row],[_IsLeaf]]=1),0,MAX(_xlfn.MAXIFS(Tasks[_Row],Tasks[Pred1 UID],Tasks[[#This Row],[UID]]),_xlfn.MAXIFS(Tasks[_Row],Tasks[Pred2 UID],Tasks[[#This Row],[UID]]),_xlfn.MAXIFS(Tasks[_Row],Tasks[Pred3 UID],Tasks[[#This Row],[UID]]),_xlfn.MAXIFS(Tasks[_Row],Tasks[Pred4 UID],Tasks[[#This Row],[UID]])))</f>
        <v>0</v>
      </c>
      <c r="CZ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5" s="101" t="str">
        <f aca="false">IF(NOT(Tasks[[#This Row],[_IsLeaf]]=1),"",IF(N(Tasks[[#This Row],[Duration]])&lt;=0,Tasks[[#This Row],[_LeafLateFinish]],WORKDAY.INTL(Tasks[[#This Row],[_LeafLateFinish]],-(Tasks[[#This Row],[Duration]]-1),WorkWeek,Holidays)))</f>
        <v/>
      </c>
      <c r="DC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5" s="100" t="b">
        <f aca="false">AND(Tasks[[#This Row],[_IsLeaf]]=1,Tasks[[#This Row],[_LeafProgress]]&lt;1,N(Tasks[[#This Row],[_LeafTotalSlack]])&lt;=CriticalSlackDays)</f>
        <v>0</v>
      </c>
      <c r="DE25" s="41" t="n">
        <f aca="false">IF(AND(Tasks[[#This Row],[_IsLeaf]]=1,Tasks[[#This Row],[_ConstraintCode]]=1,Tasks[[#This Row],[Mode]]&lt;&gt;"Manual",N(Tasks[[#This Row],[Actual Start]])=0),MAX(0,N(Tasks[[#This Row],[Free Slack]])),0)</f>
        <v>0</v>
      </c>
      <c r="DF25" s="101" t="str">
        <f aca="false">IF(NOT(Tasks[[#This Row],[_IsLeaf]]=1),"",IF(Tasks[[#This Row],[_AlapShift]]=0,Tasks[[#This Row],[_LeafCalcStart]],WORKDAY.INTL(Tasks[[#This Row],[_LeafCalcStart]],Tasks[[#This Row],[_AlapShift]],WorkWeek,Holidays)))</f>
        <v/>
      </c>
      <c r="DG25" s="101" t="str">
        <f aca="false">IF(NOT(Tasks[[#This Row],[_IsLeaf]]=1),"",IF(Tasks[[#This Row],[_AlapShift]]=0,Tasks[[#This Row],[_LeafCalcFinish]],WORKDAY.INTL(Tasks[[#This Row],[_LeafCalcFinish]],Tasks[[#This Row],[_AlapShift]],WorkWeek,Holidays)))</f>
        <v/>
      </c>
      <c r="DH25" s="101" t="str">
        <f aca="false">IF(NOT(Tasks[[#This Row],[_IsLeaf]]=1),"",IF(Tasks[[#This Row],[_AlapShift]]=0,Tasks[[#This Row],[_LeafFcstStart]],WORKDAY.INTL(Tasks[[#This Row],[_LeafFcstStart]],Tasks[[#This Row],[_AlapShift]],WorkWeek,Holidays)))</f>
        <v/>
      </c>
      <c r="DI25" s="101" t="str">
        <f aca="false">IF(NOT(Tasks[[#This Row],[_IsLeaf]]=1),"",IF(Tasks[[#This Row],[_AlapShift]]=0,Tasks[[#This Row],[_LeafFcstFinish]],WORKDAY.INTL(Tasks[[#This Row],[_LeafFcstFinish]],Tasks[[#This Row],[_AlapShift]],WorkWeek,Holidays)))</f>
        <v/>
      </c>
      <c r="DJ25" s="101" t="str">
        <f aca="false">IF(Tasks[[#This Row],[Task Name]]="","",IF(Tasks[[#This Row],[_IsSummary]],MIN(INDEX(Tasks[_ShownCalcStart],Tasks[[#This Row],[_Row]]+1):INDEX(Tasks[_ShownCalcStart],Tasks[[#This Row],[_Row]]+Tasks[[#This Row],[_Descendants]])),Tasks[[#This Row],[_ShownCalcStart]]))</f>
        <v/>
      </c>
      <c r="DK25" s="101" t="str">
        <f aca="false">IF(Tasks[[#This Row],[Task Name]]="","",IF(Tasks[[#This Row],[_IsSummary]],MAX(INDEX(Tasks[_ShownCalcFinish],Tasks[[#This Row],[_Row]]+1):INDEX(Tasks[_ShownCalcFinish],Tasks[[#This Row],[_Row]]+Tasks[[#This Row],[_Descendants]])),Tasks[[#This Row],[_ShownCalcFinish]]))</f>
        <v/>
      </c>
      <c r="D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5" s="41" t="n">
        <f aca="false">IF(AND(Tasks[[#This Row],[_IsLeaf]]=1,Tasks[[#This Row],[_LeafTotalWork]]&gt;0),NETWORKDAYS.INTL(ProjectStart,Tasks[[#This Row],[_ShownFcstStart]],WorkWeek,Holidays),0)</f>
        <v>0</v>
      </c>
      <c r="DY25" s="41" t="n">
        <f aca="false">IF(AND(Tasks[[#This Row],[_IsLeaf]]=1,Tasks[[#This Row],[_LeafTotalWork]]&gt;0),MAX(Tasks[[#This Row],[_StartWorkday]],NETWORKDAYS.INTL(ProjectStart,Tasks[[#This Row],[_ShownFcstFinish]],WorkWeek,Holidays)),0)</f>
        <v>0</v>
      </c>
      <c r="DZ25" s="41" t="n">
        <f aca="false">IF(AND(Tasks[[#This Row],[_IsLeaf]]=1,Tasks[[#This Row],[_LeafTotalWork]]&gt;0),Tasks[[#This Row],[_LeafWork]]/(Tasks[[#This Row],[_FinishWorkday]]-Tasks[[#This Row],[_StartWorkday]]+1),0)</f>
        <v>0</v>
      </c>
      <c r="EA25" s="41" t="n">
        <f aca="false">Tasks[[#This Row],[_WorkPerWorkday]]*(Tasks[[#This Row],[_StartWorkday]]-1)</f>
        <v>-0</v>
      </c>
      <c r="EB25" s="41" t="n">
        <f aca="false">IF(Tasks[[#This Row],[_IsLeaf]]=1,MAX(N(Tasks[[#This Row],[Duration]]),0.1),0)</f>
        <v>0</v>
      </c>
      <c r="EC25" s="41" t="n">
        <f aca="false">Tasks[[#This Row],[_WeightDur]]*Tasks[[#This Row],[_LeafProgress]]</f>
        <v>0</v>
      </c>
      <c r="ED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5" s="41" t="str">
        <f aca="false">IF(AND(Tasks[[#This Row],[_IsLeaf]]=1,N(Tasks[[#This Row],[Duration]])=0,Tasks[[#This Row],[_LeafProgress]]&lt;1),Tasks[[#This Row],[_ShownFcstFinish]]+Tasks[[#This Row],[_Row]]/100000,"")</f>
        <v/>
      </c>
      <c r="EF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5" s="41" t="n">
        <f aca="false">IF(NOT(Tasks[[#This Row],[_IsLeaf]]=1),0,IF(Tasks[[#This Row],[Baseline Cost]]="",Tasks[[#This Row],[_LeafTotalCost]],N(Tasks[[#This Row],[Baseline Cost]])))</f>
        <v>0</v>
      </c>
      <c r="EH25" s="41" t="n">
        <f aca="false">Tasks[[#This Row],[_LeafBudget]]*Tasks[[#This Row],[_PlannedPct]]</f>
        <v>0</v>
      </c>
      <c r="EI25" s="41" t="n">
        <f aca="false">Tasks[[#This Row],[_LeafBudget]]*Tasks[[#This Row],[_LeafProgress]]</f>
        <v>0</v>
      </c>
      <c r="EJ25" s="41" t="n">
        <f aca="false">IF(NOT(Tasks[[#This Row],[_IsLeaf]]=1),0,IF(Tasks[[#This Row],[Actual Cost]]="",Tasks[[#This Row],[_LeafTotalCost]]*Tasks[[#This Row],[_LeafProgress]],N(Tasks[[#This Row],[Actual Cost]])))</f>
        <v>0</v>
      </c>
      <c r="EK25" s="41" t="str">
        <f aca="false">IF(Tasks[[#This Row],[Task Name]]="","",LEFT(Tasks[[#This Row],[WBS]],FIND(".",Tasks[[#This Row],[WBS]]&amp;".")-1))</f>
        <v/>
      </c>
      <c r="EL25" s="41" t="str">
        <f aca="false">IF(AND(Tasks[[#This Row],[Task Name]]&lt;&gt;"",Tasks[[#This Row],[_Level]]=1),Tasks[[#This Row],[_Row]],"")</f>
        <v/>
      </c>
      <c r="EM25" s="41" t="str">
        <f aca="false">IF(AND(Tasks[[#This Row],[_IsLeaf]]=1,N(Tasks[[#This Row],[Duration]])=0),Tasks[[#This Row],[Planned Finish]]+Tasks[[#This Row],[_Row]]/100000,"")</f>
        <v/>
      </c>
      <c r="EN25" s="41" t="str">
        <f aca="false">IF(AND(Tasks[[#This Row],[_IsLeaf]]=1,Tasks[[#This Row],[_LeafProgress]]&lt;1,OR(N(Tasks[[#This Row],[Finish Var]])&gt;0,Tasks[[#This Row],[Status]]="Late Start")),MAX(0,Tasks[[#This Row],[Finish Var]])+1-Tasks[[#This Row],[_Row]]/1000000,"")</f>
        <v/>
      </c>
      <c r="EO25" s="41" t="str">
        <f aca="false">IF(AND(Tasks[[#This Row],[_IsLeaf]]=1,N(Tasks[[#This Row],[Actual Start]])=0,Tasks[[#This Row],[_ShownFcstStart]]&gt;=StatusDate,Tasks[[#This Row],[_ShownFcstStart]]&lt;=LookaheadEnd),Tasks[[#This Row],[_ShownFcstStart]]+Tasks[[#This Row],[_Row]]/100000,"")</f>
        <v/>
      </c>
      <c r="EP25" s="41" t="str">
        <f aca="false">IF(AND(Tasks[[#This Row],[_IsLeaf]]=1,Tasks[[#This Row],[_LeafProgress]]&lt;1,Tasks[[#This Row],[_ShownFcstFinish]]&gt;=StatusDate,Tasks[[#This Row],[_ShownFcstFinish]]&lt;=LookaheadEnd),Tasks[[#This Row],[_ShownFcstFinish]]+Tasks[[#This Row],[_Row]]/100000,"")</f>
        <v/>
      </c>
      <c r="EQ25" s="41" t="str">
        <f aca="false">IF(Tasks[[#This Row],[_LeafCritical]],Tasks[[#This Row],[_ShownFcstStart]]+Tasks[[#This Row],[_Row]]/100000,"")</f>
        <v/>
      </c>
      <c r="ER25" s="41" t="n">
        <f aca="false">Tasks[[#This Row],[_LeafWork]]*Tasks[[#This Row],[_LeafProgress]]</f>
        <v>0</v>
      </c>
      <c r="ES25" s="101" t="str">
        <f aca="false">IF(AND(Tasks[[#This Row],[_IsLeaf]]=1,Tasks[[#This Row],[_LeafProgress]]&gt;=1),IF(N(Tasks[[#This Row],[Actual Finish]])&gt;0,Tasks[[#This Row],[Actual Finish]],Tasks[[#This Row],[_ShownFcstFinish]]),"")</f>
        <v/>
      </c>
      <c r="ET25" s="41" t="n">
        <f aca="false">IF(Tasks[[#This Row],[_IsLeaf]]=1,N(Tasks[[#This Row],[Story Points]]),0)</f>
        <v>0</v>
      </c>
      <c r="EU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29"/>
      <c r="O26" s="29"/>
      <c r="P26" s="29"/>
      <c r="Q26" s="29"/>
      <c r="R26" s="29"/>
      <c r="S26" s="29"/>
      <c r="T26" s="30"/>
      <c r="U26" s="75"/>
      <c r="V26" s="75"/>
      <c r="W26" s="25" t="str">
        <f aca="false">IF(Tasks[[#This Row],[Task Name]]="","",IF(N(Tasks[[#This Row],[Baseline Start]])&gt;0,Tasks[[#This Row],[Baseline Start]],Tasks[[#This Row],[_CalcStart]]))</f>
        <v/>
      </c>
      <c r="X26" s="25" t="str">
        <f aca="false">IF(Tasks[[#This Row],[Task Name]]="","",IF(N(Tasks[[#This Row],[Baseline Finish]])&gt;0,Tasks[[#This Row],[Baseline Finish]],Tasks[[#This Row],[_CalcFinish]]))</f>
        <v/>
      </c>
      <c r="Y26" s="75"/>
      <c r="Z26" s="75"/>
      <c r="AA26" s="25" t="str">
        <f aca="false">IF(Tasks[[#This Row],[Task Name]]="","",IF(Tasks[[#This Row],[_IsSummary]],MIN(INDEX(Tasks[_ShownFcstStart],Tasks[[#This Row],[_Row]]+1):INDEX(Tasks[_ShownFcstStart],Tasks[[#This Row],[_Row]]+Tasks[[#This Row],[_Descendants]])),Tasks[[#This Row],[_ShownFcstStart]]))</f>
        <v/>
      </c>
      <c r="AB26" s="25" t="str">
        <f aca="false">IF(Tasks[[#This Row],[Task Name]]="","",IF(Tasks[[#This Row],[_IsSummary]],MAX(INDEX(Tasks[_ShownFcstFinish],Tasks[[#This Row],[_Row]]+1):INDEX(Tasks[_ShownFcstFinish],Tasks[[#This Row],[_Row]]+Tasks[[#This Row],[_Descendants]])),Tasks[[#This Row],[_ShownFcstFinish]]))</f>
        <v/>
      </c>
      <c r="AC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6" s="25" t="str">
        <f aca="false">IF(Tasks[[#This Row],[Task Name]]="","",IF(Tasks[[#This Row],[_IsSummary]],MIN(INDEX(Tasks[_LeafLateStart],Tasks[[#This Row],[_Row]]+1):INDEX(Tasks[_LeafLateStart],Tasks[[#This Row],[_Row]]+Tasks[[#This Row],[_Descendants]])),Tasks[[#This Row],[_LeafLateStart]]))</f>
        <v/>
      </c>
      <c r="AF26" s="25" t="str">
        <f aca="false">IF(Tasks[[#This Row],[Task Name]]="","",IF(Tasks[[#This Row],[_IsSummary]],MAX(INDEX(Tasks[_LeafLateFinish],Tasks[[#This Row],[_Row]]+1):INDEX(Tasks[_LeafLateFinish],Tasks[[#This Row],[_Row]]+Tasks[[#This Row],[_Descendants]])),Tasks[[#This Row],[_LeafLateFinish]]))</f>
        <v/>
      </c>
      <c r="AG26" s="28" t="str">
        <f aca="false">IF(Tasks[[#This Row],[Task Name]]="","",IF(Tasks[[#This Row],[_IsSummary]],MIN(INDEX(Tasks[_LeafTotalSlack],Tasks[[#This Row],[_Row]]+1):INDEX(Tasks[_LeafTotalSlack],Tasks[[#This Row],[_Row]]+Tasks[[#This Row],[_Descendants]])),Tasks[[#This Row],[_LeafTotalSlack]]))</f>
        <v/>
      </c>
      <c r="AH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6" s="28" t="str">
        <f aca="false">IF(Tasks[[#This Row],[Task Name]]="","",IF(IF(Tasks[[#This Row],[_IsSummary]],COUNTIF(INDEX(Tasks[_LeafCritical],Tasks[[#This Row],[_Row]]+1):INDEX(Tasks[_LeafCritical],Tasks[[#This Row],[_Row]]+Tasks[[#This Row],[_Descendants]]),TRUE())&gt;0,Tasks[[#This Row],[_LeafCritical]]),"Yes",""))</f>
        <v/>
      </c>
      <c r="AJ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6" s="89"/>
      <c r="AM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6" s="28" t="str">
        <f aca="false">IF(Tasks[[#This Row],[Task Name]]="","",IF(Tasks[[#This Row],[Progress]]&gt;=1,"Complete",IF(OR(N(Tasks[[#This Row],[Actual Start]])&gt;0,Tasks[[#This Row],[Progress]]&gt;0),IF(Tasks[[#This Row],[Finish Var]]&gt;0,"Behind","In Progress"),IF(Tasks[[#This Row],[Planned Start]]&lt;StatusDate,"Late Start","Not Started"))))</f>
        <v/>
      </c>
      <c r="AO26" s="30"/>
      <c r="AP26" s="89"/>
      <c r="AQ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6" s="96" t="str">
        <f aca="false">IF(Tasks[[#This Row],[Task Name]]="","",IF(Tasks[[#This Row],[_IsSummary]],SUM(INDEX(Tasks[_LeafTotalWork],Tasks[[#This Row],[_Row]]+1):INDEX(Tasks[_LeafTotalWork],Tasks[[#This Row],[_Row]]+Tasks[[#This Row],[_Descendants]])),Tasks[[#This Row],[_LeafTotalWork]]))</f>
        <v/>
      </c>
      <c r="AT26" s="97" t="str">
        <f aca="false">IF(Tasks[[#This Row],[Task Name]]="","",IF(Tasks[[#This Row],[_IsSummary]],SUM(INDEX(Tasks[_LeafTotalCost],Tasks[[#This Row],[_Row]]+1):INDEX(Tasks[_LeafTotalCost],Tasks[[#This Row],[_Row]]+Tasks[[#This Row],[_Descendants]])),Tasks[[#This Row],[_LeafTotalCost]]))</f>
        <v/>
      </c>
      <c r="AU26" s="98"/>
      <c r="AV26" s="29"/>
      <c r="AW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6" s="83"/>
      <c r="AY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6" s="30"/>
      <c r="BA26" s="25" t="str">
        <f aca="false">IF(Tasks[[#This Row],[Task Name]]="","",Tasks[[#This Row],[Forecast Start]])</f>
        <v/>
      </c>
      <c r="BB26" s="25" t="str">
        <f aca="false">IF(Tasks[[#This Row],[Task Name]]="","",Tasks[[#This Row],[Forecast Finish]])</f>
        <v/>
      </c>
      <c r="BC26" s="28" t="str">
        <f aca="false">IF(Tasks[[#This Row],[Task Name]]="","",IF(Tasks[[#This Row],[_IsSummary]],NETWORKDAYS.INTL(Tasks[[#This Row],[Forecast Start]],Tasks[[#This Row],[Forecast Finish]],WorkWeek,Holidays),N(Tasks[[#This Row],[Duration]])))</f>
        <v/>
      </c>
      <c r="BD26" s="96" t="str">
        <f aca="false">IF(Tasks[[#This Row],[Task Name]]="","",Tasks[[#This Row],[Work]])</f>
        <v/>
      </c>
      <c r="BE26" s="97" t="str">
        <f aca="false">IF(Tasks[[#This Row],[Task Name]]="","",Tasks[[#This Row],[Cost]])</f>
        <v/>
      </c>
      <c r="BF26" s="75"/>
      <c r="BG26" s="75"/>
      <c r="BH26" s="29"/>
      <c r="BI26" s="99"/>
      <c r="BJ26" s="98"/>
      <c r="BK26" s="28" t="str">
        <f aca="false">IF(OR(Tasks[[#This Row],[Task Name]]="",Tasks[[#This Row],[Baseline Duration]]=""),"",Tasks[[#This Row],[BL Source Duration]]-N(Tasks[[#This Row],[Baseline Duration]]))</f>
        <v/>
      </c>
      <c r="BL26" s="96" t="str">
        <f aca="false">IF(OR(Tasks[[#This Row],[Task Name]]="",Tasks[[#This Row],[Baseline Work]]=""),"",Tasks[[#This Row],[Work]]-N(Tasks[[#This Row],[Baseline Work]]))</f>
        <v/>
      </c>
      <c r="BM26" s="97" t="str">
        <f aca="false">IF(OR(Tasks[[#This Row],[Task Name]]="",Tasks[[#This Row],[Baseline Cost]]=""),"",Tasks[[#This Row],[Cost]]-N(Tasks[[#This Row],[Baseline Cost]]))</f>
        <v/>
      </c>
      <c r="BN26" s="97" t="str">
        <f aca="false">IF(Tasks[[#This Row],[Task Name]]="","",IF(Tasks[[#This Row],[_IsSummary]],SUM(INDEX(Tasks[_LeafBudget],Tasks[[#This Row],[_Row]]+1):INDEX(Tasks[_LeafBudget],Tasks[[#This Row],[_Row]]+Tasks[[#This Row],[_Descendants]])),Tasks[[#This Row],[_LeafBudget]]))</f>
        <v/>
      </c>
      <c r="BO26" s="97" t="str">
        <f aca="false">IF(Tasks[[#This Row],[Task Name]]="","",IF(Tasks[[#This Row],[_IsSummary]],SUM(INDEX(Tasks[_LeafPV],Tasks[[#This Row],[_Row]]+1):INDEX(Tasks[_LeafPV],Tasks[[#This Row],[_Row]]+Tasks[[#This Row],[_Descendants]])),Tasks[[#This Row],[_LeafPV]]))</f>
        <v/>
      </c>
      <c r="BP26" s="97" t="str">
        <f aca="false">IF(Tasks[[#This Row],[Task Name]]="","",IF(Tasks[[#This Row],[_IsSummary]],SUM(INDEX(Tasks[_LeafEV],Tasks[[#This Row],[_Row]]+1):INDEX(Tasks[_LeafEV],Tasks[[#This Row],[_Row]]+Tasks[[#This Row],[_Descendants]])),Tasks[[#This Row],[_LeafEV]]))</f>
        <v/>
      </c>
      <c r="BQ26" s="97" t="str">
        <f aca="false">IF(Tasks[[#This Row],[Task Name]]="","",IF(Tasks[[#This Row],[_IsSummary]],SUM(INDEX(Tasks[_LeafAC],Tasks[[#This Row],[_Row]]+1):INDEX(Tasks[_LeafAC],Tasks[[#This Row],[_Row]]+Tasks[[#This Row],[_Descendants]])),Tasks[[#This Row],[_LeafAC]]))</f>
        <v/>
      </c>
      <c r="BR26" s="41" t="str">
        <f aca="false">IF(Tasks[[#This Row],[Task Name]]="","",MAX(1,N(Tasks[[#This Row],[Level]])))</f>
        <v/>
      </c>
      <c r="BS26" s="41" t="n">
        <f aca="false">ROW()-ROW(Tasks[[#Headers],[ID]])</f>
        <v>21</v>
      </c>
      <c r="BT26" s="41" t="n">
        <f aca="false">IF(OR(Tasks[[#This Row],[Task Name]]="",Tasks[[#This Row],[_Level]]&lt;=1),0,IFERROR(LOOKUP(2,1/(Tasks[[#Headers],[_Level]]:Tasks[[#This Row],[_Level]]=Tasks[[#This Row],[_Level]]-1),ROW(Tasks[[#Headers],[_Level]]:Tasks[[#This Row],[_Level]])),0))</f>
        <v>0</v>
      </c>
      <c r="BU26" s="41" t="n">
        <f aca="false">IFERROR(N(INDEX(Tasks[_Level],Tasks[[#This Row],[_Row]]+1)),0)</f>
        <v>0</v>
      </c>
      <c r="BV26" s="100" t="b">
        <f aca="false">AND(Tasks[[#This Row],[Task Name]]&lt;&gt;"",Tasks[[#This Row],[_NextLevel]]&gt;Tasks[[#This Row],[_Level]])</f>
        <v>0</v>
      </c>
      <c r="BW26" s="41" t="n">
        <f aca="false">IF(Tasks[[#This Row],[_IsSummary]],COUNTIF(Tasks[WBS],Tasks[[#This Row],[WBS]]&amp;".*"),0)</f>
        <v>0</v>
      </c>
      <c r="BX26" s="41" t="n">
        <f aca="false">IF(AND(Tasks[[#This Row],[Task Name]]&lt;&gt;"",NOT(Tasks[[#This Row],[_IsSummary]])),1,0)</f>
        <v>0</v>
      </c>
      <c r="BY26" s="41" t="n">
        <f aca="false">IF(N(Tasks[[#This Row],[Pred1 UID]])=0,0,IFERROR(MATCH(Tasks[[#This Row],[Pred1 UID]],Tasks[UID],0),-1))</f>
        <v>0</v>
      </c>
      <c r="BZ26" s="41" t="n">
        <f aca="false">IF(N(Tasks[[#This Row],[Pred2 UID]])=0,0,IFERROR(MATCH(Tasks[[#This Row],[Pred2 UID]],Tasks[UID],0),-1))</f>
        <v>0</v>
      </c>
      <c r="CA26" s="41" t="n">
        <f aca="false">IF(N(Tasks[[#This Row],[Pred3 UID]])=0,0,IFERROR(MATCH(Tasks[[#This Row],[Pred3 UID]],Tasks[UID],0),-1))</f>
        <v>0</v>
      </c>
      <c r="CB26" s="41" t="n">
        <f aca="false">IF(N(Tasks[[#This Row],[Pred4 UID]])=0,0,IFERROR(MATCH(Tasks[[#This Row],[Pred4 UID]],Tasks[UID],0),-1))</f>
        <v>0</v>
      </c>
      <c r="CC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6" s="101" t="n">
        <f aca="false">IF(OR(Tasks[[#This Row],[_ConstraintCode]]=2,Tasks[[#This Row],[_ConstraintCode]]=3,Tasks[[#This Row],[_ConstraintCode]]=4,Tasks[[#This Row],[_ConstraintCode]]=6),Tasks[[#This Row],[_ConstraintStart]],0)</f>
        <v>0</v>
      </c>
      <c r="CF26" s="101" t="n">
        <f aca="false">IF(OR(Tasks[[#This Row],[_ConstraintCode]]=2,Tasks[[#This Row],[_ConstraintCode]]=3,Tasks[[#This Row],[_ConstraintCode]]=5,Tasks[[#This Row],[_ConstraintCode]]=7),Tasks[[#This Row],[_ConstraintStart]],2958465)</f>
        <v>2958465</v>
      </c>
      <c r="CG2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6" s="101" t="str">
        <f aca="false">IF(NOT(Tasks[[#This Row],[_IsLeaf]]=1),"",IF(N(Tasks[[#This Row],[Duration]])&lt;=0,Tasks[[#This Row],[_LeafCalcStart]],WORKDAY.INTL(Tasks[[#This Row],[_LeafCalcStart]],Tasks[[#This Row],[Duration]]-1,WorkWeek,Holidays)))</f>
        <v/>
      </c>
      <c r="CI2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6" s="41" t="n">
        <f aca="false">IF(NOT(Tasks[[#This Row],[_IsLeaf]]=1),0,IF(N(Tasks[[#This Row],[Actual Finish]])&gt;0,1,MIN(1,N(Tasks[[#This Row],[% Complete]]))))</f>
        <v>0</v>
      </c>
      <c r="CL26" s="41" t="n">
        <f aca="false">IF(OR(NOT(Tasks[[#This Row],[_IsLeaf]]=1),Tasks[[#This Row],[Resource]]=""),0,N(Tasks[[#This Row],[Duration]])*HoursPerDay*IF(Tasks[[#This Row],[Units]]="",DefaultUnits,Tasks[[#This Row],[Units]]))</f>
        <v>0</v>
      </c>
      <c r="CM26" s="41" t="n">
        <f aca="false">IF(Tasks[[#This Row],[_LeafWork]]=0,0,Tasks[[#This Row],[_LeafWork]]*IFERROR(INDEX(res_Rate,MATCH(Tasks[[#This Row],[Resource]],res_Name,0)),0))</f>
        <v>0</v>
      </c>
      <c r="CN26" s="41" t="n">
        <f aca="false">Tasks[[#This Row],[_LeafWork]]+IF(Tasks[[#This Row],[_IsLeaf]]=1,SUMIFS(asg_Work,asg_TaskUID,Tasks[[#This Row],[UID]],asg_Valid,1),0)</f>
        <v>0</v>
      </c>
      <c r="CO26" s="41" t="n">
        <f aca="false">Tasks[[#This Row],[_LeafCost]]+IF(Tasks[[#This Row],[_IsLeaf]]=1,SUMIFS(asg_Cost,asg_TaskUID,Tasks[[#This Row],[UID]],asg_Valid,1),0)</f>
        <v>0</v>
      </c>
      <c r="CP26" s="41" t="n">
        <f aca="false">IF(Tasks[[#This Row],[_LeafTotalCost]]=0,Tasks[[#This Row],[_LeafAC]],Tasks[[#This Row],[_LeafAC]]*Tasks[[#This Row],[_LeafCost]]/Tasks[[#This Row],[_LeafTotalCost]])</f>
        <v>0</v>
      </c>
      <c r="CQ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6" s="41" t="n">
        <f aca="false">IF(NOT(Tasks[[#This Row],[_IsLeaf]]=1),0,MAX(_xlfn.MAXIFS(Tasks[_Row],Tasks[Pred1 UID],Tasks[[#This Row],[UID]]),_xlfn.MAXIFS(Tasks[_Row],Tasks[Pred2 UID],Tasks[[#This Row],[UID]]),_xlfn.MAXIFS(Tasks[_Row],Tasks[Pred3 UID],Tasks[[#This Row],[UID]]),_xlfn.MAXIFS(Tasks[_Row],Tasks[Pred4 UID],Tasks[[#This Row],[UID]])))</f>
        <v>0</v>
      </c>
      <c r="CZ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6" s="101" t="str">
        <f aca="false">IF(NOT(Tasks[[#This Row],[_IsLeaf]]=1),"",IF(N(Tasks[[#This Row],[Duration]])&lt;=0,Tasks[[#This Row],[_LeafLateFinish]],WORKDAY.INTL(Tasks[[#This Row],[_LeafLateFinish]],-(Tasks[[#This Row],[Duration]]-1),WorkWeek,Holidays)))</f>
        <v/>
      </c>
      <c r="DC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6" s="100" t="b">
        <f aca="false">AND(Tasks[[#This Row],[_IsLeaf]]=1,Tasks[[#This Row],[_LeafProgress]]&lt;1,N(Tasks[[#This Row],[_LeafTotalSlack]])&lt;=CriticalSlackDays)</f>
        <v>0</v>
      </c>
      <c r="DE26" s="41" t="n">
        <f aca="false">IF(AND(Tasks[[#This Row],[_IsLeaf]]=1,Tasks[[#This Row],[_ConstraintCode]]=1,Tasks[[#This Row],[Mode]]&lt;&gt;"Manual",N(Tasks[[#This Row],[Actual Start]])=0),MAX(0,N(Tasks[[#This Row],[Free Slack]])),0)</f>
        <v>0</v>
      </c>
      <c r="DF26" s="101" t="str">
        <f aca="false">IF(NOT(Tasks[[#This Row],[_IsLeaf]]=1),"",IF(Tasks[[#This Row],[_AlapShift]]=0,Tasks[[#This Row],[_LeafCalcStart]],WORKDAY.INTL(Tasks[[#This Row],[_LeafCalcStart]],Tasks[[#This Row],[_AlapShift]],WorkWeek,Holidays)))</f>
        <v/>
      </c>
      <c r="DG26" s="101" t="str">
        <f aca="false">IF(NOT(Tasks[[#This Row],[_IsLeaf]]=1),"",IF(Tasks[[#This Row],[_AlapShift]]=0,Tasks[[#This Row],[_LeafCalcFinish]],WORKDAY.INTL(Tasks[[#This Row],[_LeafCalcFinish]],Tasks[[#This Row],[_AlapShift]],WorkWeek,Holidays)))</f>
        <v/>
      </c>
      <c r="DH26" s="101" t="str">
        <f aca="false">IF(NOT(Tasks[[#This Row],[_IsLeaf]]=1),"",IF(Tasks[[#This Row],[_AlapShift]]=0,Tasks[[#This Row],[_LeafFcstStart]],WORKDAY.INTL(Tasks[[#This Row],[_LeafFcstStart]],Tasks[[#This Row],[_AlapShift]],WorkWeek,Holidays)))</f>
        <v/>
      </c>
      <c r="DI26" s="101" t="str">
        <f aca="false">IF(NOT(Tasks[[#This Row],[_IsLeaf]]=1),"",IF(Tasks[[#This Row],[_AlapShift]]=0,Tasks[[#This Row],[_LeafFcstFinish]],WORKDAY.INTL(Tasks[[#This Row],[_LeafFcstFinish]],Tasks[[#This Row],[_AlapShift]],WorkWeek,Holidays)))</f>
        <v/>
      </c>
      <c r="DJ26" s="101" t="str">
        <f aca="false">IF(Tasks[[#This Row],[Task Name]]="","",IF(Tasks[[#This Row],[_IsSummary]],MIN(INDEX(Tasks[_ShownCalcStart],Tasks[[#This Row],[_Row]]+1):INDEX(Tasks[_ShownCalcStart],Tasks[[#This Row],[_Row]]+Tasks[[#This Row],[_Descendants]])),Tasks[[#This Row],[_ShownCalcStart]]))</f>
        <v/>
      </c>
      <c r="DK26" s="101" t="str">
        <f aca="false">IF(Tasks[[#This Row],[Task Name]]="","",IF(Tasks[[#This Row],[_IsSummary]],MAX(INDEX(Tasks[_ShownCalcFinish],Tasks[[#This Row],[_Row]]+1):INDEX(Tasks[_ShownCalcFinish],Tasks[[#This Row],[_Row]]+Tasks[[#This Row],[_Descendants]])),Tasks[[#This Row],[_ShownCalcFinish]]))</f>
        <v/>
      </c>
      <c r="D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6" s="41" t="n">
        <f aca="false">IF(AND(Tasks[[#This Row],[_IsLeaf]]=1,Tasks[[#This Row],[_LeafTotalWork]]&gt;0),NETWORKDAYS.INTL(ProjectStart,Tasks[[#This Row],[_ShownFcstStart]],WorkWeek,Holidays),0)</f>
        <v>0</v>
      </c>
      <c r="DY26" s="41" t="n">
        <f aca="false">IF(AND(Tasks[[#This Row],[_IsLeaf]]=1,Tasks[[#This Row],[_LeafTotalWork]]&gt;0),MAX(Tasks[[#This Row],[_StartWorkday]],NETWORKDAYS.INTL(ProjectStart,Tasks[[#This Row],[_ShownFcstFinish]],WorkWeek,Holidays)),0)</f>
        <v>0</v>
      </c>
      <c r="DZ26" s="41" t="n">
        <f aca="false">IF(AND(Tasks[[#This Row],[_IsLeaf]]=1,Tasks[[#This Row],[_LeafTotalWork]]&gt;0),Tasks[[#This Row],[_LeafWork]]/(Tasks[[#This Row],[_FinishWorkday]]-Tasks[[#This Row],[_StartWorkday]]+1),0)</f>
        <v>0</v>
      </c>
      <c r="EA26" s="41" t="n">
        <f aca="false">Tasks[[#This Row],[_WorkPerWorkday]]*(Tasks[[#This Row],[_StartWorkday]]-1)</f>
        <v>-0</v>
      </c>
      <c r="EB26" s="41" t="n">
        <f aca="false">IF(Tasks[[#This Row],[_IsLeaf]]=1,MAX(N(Tasks[[#This Row],[Duration]]),0.1),0)</f>
        <v>0</v>
      </c>
      <c r="EC26" s="41" t="n">
        <f aca="false">Tasks[[#This Row],[_WeightDur]]*Tasks[[#This Row],[_LeafProgress]]</f>
        <v>0</v>
      </c>
      <c r="ED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6" s="41" t="str">
        <f aca="false">IF(AND(Tasks[[#This Row],[_IsLeaf]]=1,N(Tasks[[#This Row],[Duration]])=0,Tasks[[#This Row],[_LeafProgress]]&lt;1),Tasks[[#This Row],[_ShownFcstFinish]]+Tasks[[#This Row],[_Row]]/100000,"")</f>
        <v/>
      </c>
      <c r="EF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6" s="41" t="n">
        <f aca="false">IF(NOT(Tasks[[#This Row],[_IsLeaf]]=1),0,IF(Tasks[[#This Row],[Baseline Cost]]="",Tasks[[#This Row],[_LeafTotalCost]],N(Tasks[[#This Row],[Baseline Cost]])))</f>
        <v>0</v>
      </c>
      <c r="EH26" s="41" t="n">
        <f aca="false">Tasks[[#This Row],[_LeafBudget]]*Tasks[[#This Row],[_PlannedPct]]</f>
        <v>0</v>
      </c>
      <c r="EI26" s="41" t="n">
        <f aca="false">Tasks[[#This Row],[_LeafBudget]]*Tasks[[#This Row],[_LeafProgress]]</f>
        <v>0</v>
      </c>
      <c r="EJ26" s="41" t="n">
        <f aca="false">IF(NOT(Tasks[[#This Row],[_IsLeaf]]=1),0,IF(Tasks[[#This Row],[Actual Cost]]="",Tasks[[#This Row],[_LeafTotalCost]]*Tasks[[#This Row],[_LeafProgress]],N(Tasks[[#This Row],[Actual Cost]])))</f>
        <v>0</v>
      </c>
      <c r="EK26" s="41" t="str">
        <f aca="false">IF(Tasks[[#This Row],[Task Name]]="","",LEFT(Tasks[[#This Row],[WBS]],FIND(".",Tasks[[#This Row],[WBS]]&amp;".")-1))</f>
        <v/>
      </c>
      <c r="EL26" s="41" t="str">
        <f aca="false">IF(AND(Tasks[[#This Row],[Task Name]]&lt;&gt;"",Tasks[[#This Row],[_Level]]=1),Tasks[[#This Row],[_Row]],"")</f>
        <v/>
      </c>
      <c r="EM26" s="41" t="str">
        <f aca="false">IF(AND(Tasks[[#This Row],[_IsLeaf]]=1,N(Tasks[[#This Row],[Duration]])=0),Tasks[[#This Row],[Planned Finish]]+Tasks[[#This Row],[_Row]]/100000,"")</f>
        <v/>
      </c>
      <c r="EN26" s="41" t="str">
        <f aca="false">IF(AND(Tasks[[#This Row],[_IsLeaf]]=1,Tasks[[#This Row],[_LeafProgress]]&lt;1,OR(N(Tasks[[#This Row],[Finish Var]])&gt;0,Tasks[[#This Row],[Status]]="Late Start")),MAX(0,Tasks[[#This Row],[Finish Var]])+1-Tasks[[#This Row],[_Row]]/1000000,"")</f>
        <v/>
      </c>
      <c r="EO26" s="41" t="str">
        <f aca="false">IF(AND(Tasks[[#This Row],[_IsLeaf]]=1,N(Tasks[[#This Row],[Actual Start]])=0,Tasks[[#This Row],[_ShownFcstStart]]&gt;=StatusDate,Tasks[[#This Row],[_ShownFcstStart]]&lt;=LookaheadEnd),Tasks[[#This Row],[_ShownFcstStart]]+Tasks[[#This Row],[_Row]]/100000,"")</f>
        <v/>
      </c>
      <c r="EP26" s="41" t="str">
        <f aca="false">IF(AND(Tasks[[#This Row],[_IsLeaf]]=1,Tasks[[#This Row],[_LeafProgress]]&lt;1,Tasks[[#This Row],[_ShownFcstFinish]]&gt;=StatusDate,Tasks[[#This Row],[_ShownFcstFinish]]&lt;=LookaheadEnd),Tasks[[#This Row],[_ShownFcstFinish]]+Tasks[[#This Row],[_Row]]/100000,"")</f>
        <v/>
      </c>
      <c r="EQ26" s="41" t="str">
        <f aca="false">IF(Tasks[[#This Row],[_LeafCritical]],Tasks[[#This Row],[_ShownFcstStart]]+Tasks[[#This Row],[_Row]]/100000,"")</f>
        <v/>
      </c>
      <c r="ER26" s="41" t="n">
        <f aca="false">Tasks[[#This Row],[_LeafWork]]*Tasks[[#This Row],[_LeafProgress]]</f>
        <v>0</v>
      </c>
      <c r="ES26" s="101" t="str">
        <f aca="false">IF(AND(Tasks[[#This Row],[_IsLeaf]]=1,Tasks[[#This Row],[_LeafProgress]]&gt;=1),IF(N(Tasks[[#This Row],[Actual Finish]])&gt;0,Tasks[[#This Row],[Actual Finish]],Tasks[[#This Row],[_ShownFcstFinish]]),"")</f>
        <v/>
      </c>
      <c r="ET26" s="41" t="n">
        <f aca="false">IF(Tasks[[#This Row],[_IsLeaf]]=1,N(Tasks[[#This Row],[Story Points]]),0)</f>
        <v>0</v>
      </c>
      <c r="EU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29"/>
      <c r="O27" s="29"/>
      <c r="P27" s="29"/>
      <c r="Q27" s="29"/>
      <c r="R27" s="29"/>
      <c r="S27" s="29"/>
      <c r="T27" s="30"/>
      <c r="U27" s="75"/>
      <c r="V27" s="75"/>
      <c r="W27" s="25" t="str">
        <f aca="false">IF(Tasks[[#This Row],[Task Name]]="","",IF(N(Tasks[[#This Row],[Baseline Start]])&gt;0,Tasks[[#This Row],[Baseline Start]],Tasks[[#This Row],[_CalcStart]]))</f>
        <v/>
      </c>
      <c r="X27" s="25" t="str">
        <f aca="false">IF(Tasks[[#This Row],[Task Name]]="","",IF(N(Tasks[[#This Row],[Baseline Finish]])&gt;0,Tasks[[#This Row],[Baseline Finish]],Tasks[[#This Row],[_CalcFinish]]))</f>
        <v/>
      </c>
      <c r="Y27" s="75"/>
      <c r="Z27" s="75"/>
      <c r="AA27" s="25" t="str">
        <f aca="false">IF(Tasks[[#This Row],[Task Name]]="","",IF(Tasks[[#This Row],[_IsSummary]],MIN(INDEX(Tasks[_ShownFcstStart],Tasks[[#This Row],[_Row]]+1):INDEX(Tasks[_ShownFcstStart],Tasks[[#This Row],[_Row]]+Tasks[[#This Row],[_Descendants]])),Tasks[[#This Row],[_ShownFcstStart]]))</f>
        <v/>
      </c>
      <c r="AB27" s="25" t="str">
        <f aca="false">IF(Tasks[[#This Row],[Task Name]]="","",IF(Tasks[[#This Row],[_IsSummary]],MAX(INDEX(Tasks[_ShownFcstFinish],Tasks[[#This Row],[_Row]]+1):INDEX(Tasks[_ShownFcstFinish],Tasks[[#This Row],[_Row]]+Tasks[[#This Row],[_Descendants]])),Tasks[[#This Row],[_ShownFcstFinish]]))</f>
        <v/>
      </c>
      <c r="AC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7" s="25" t="str">
        <f aca="false">IF(Tasks[[#This Row],[Task Name]]="","",IF(Tasks[[#This Row],[_IsSummary]],MIN(INDEX(Tasks[_LeafLateStart],Tasks[[#This Row],[_Row]]+1):INDEX(Tasks[_LeafLateStart],Tasks[[#This Row],[_Row]]+Tasks[[#This Row],[_Descendants]])),Tasks[[#This Row],[_LeafLateStart]]))</f>
        <v/>
      </c>
      <c r="AF27" s="25" t="str">
        <f aca="false">IF(Tasks[[#This Row],[Task Name]]="","",IF(Tasks[[#This Row],[_IsSummary]],MAX(INDEX(Tasks[_LeafLateFinish],Tasks[[#This Row],[_Row]]+1):INDEX(Tasks[_LeafLateFinish],Tasks[[#This Row],[_Row]]+Tasks[[#This Row],[_Descendants]])),Tasks[[#This Row],[_LeafLateFinish]]))</f>
        <v/>
      </c>
      <c r="AG27" s="28" t="str">
        <f aca="false">IF(Tasks[[#This Row],[Task Name]]="","",IF(Tasks[[#This Row],[_IsSummary]],MIN(INDEX(Tasks[_LeafTotalSlack],Tasks[[#This Row],[_Row]]+1):INDEX(Tasks[_LeafTotalSlack],Tasks[[#This Row],[_Row]]+Tasks[[#This Row],[_Descendants]])),Tasks[[#This Row],[_LeafTotalSlack]]))</f>
        <v/>
      </c>
      <c r="AH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7" s="28" t="str">
        <f aca="false">IF(Tasks[[#This Row],[Task Name]]="","",IF(IF(Tasks[[#This Row],[_IsSummary]],COUNTIF(INDEX(Tasks[_LeafCritical],Tasks[[#This Row],[_Row]]+1):INDEX(Tasks[_LeafCritical],Tasks[[#This Row],[_Row]]+Tasks[[#This Row],[_Descendants]]),TRUE())&gt;0,Tasks[[#This Row],[_LeafCritical]]),"Yes",""))</f>
        <v/>
      </c>
      <c r="AJ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7" s="89"/>
      <c r="AM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7" s="28" t="str">
        <f aca="false">IF(Tasks[[#This Row],[Task Name]]="","",IF(Tasks[[#This Row],[Progress]]&gt;=1,"Complete",IF(OR(N(Tasks[[#This Row],[Actual Start]])&gt;0,Tasks[[#This Row],[Progress]]&gt;0),IF(Tasks[[#This Row],[Finish Var]]&gt;0,"Behind","In Progress"),IF(Tasks[[#This Row],[Planned Start]]&lt;StatusDate,"Late Start","Not Started"))))</f>
        <v/>
      </c>
      <c r="AO27" s="30"/>
      <c r="AP27" s="89"/>
      <c r="AQ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7" s="96" t="str">
        <f aca="false">IF(Tasks[[#This Row],[Task Name]]="","",IF(Tasks[[#This Row],[_IsSummary]],SUM(INDEX(Tasks[_LeafTotalWork],Tasks[[#This Row],[_Row]]+1):INDEX(Tasks[_LeafTotalWork],Tasks[[#This Row],[_Row]]+Tasks[[#This Row],[_Descendants]])),Tasks[[#This Row],[_LeafTotalWork]]))</f>
        <v/>
      </c>
      <c r="AT27" s="97" t="str">
        <f aca="false">IF(Tasks[[#This Row],[Task Name]]="","",IF(Tasks[[#This Row],[_IsSummary]],SUM(INDEX(Tasks[_LeafTotalCost],Tasks[[#This Row],[_Row]]+1):INDEX(Tasks[_LeafTotalCost],Tasks[[#This Row],[_Row]]+Tasks[[#This Row],[_Descendants]])),Tasks[[#This Row],[_LeafTotalCost]]))</f>
        <v/>
      </c>
      <c r="AU27" s="98"/>
      <c r="AV27" s="29"/>
      <c r="AW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7" s="83"/>
      <c r="AY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7" s="30"/>
      <c r="BA27" s="25" t="str">
        <f aca="false">IF(Tasks[[#This Row],[Task Name]]="","",Tasks[[#This Row],[Forecast Start]])</f>
        <v/>
      </c>
      <c r="BB27" s="25" t="str">
        <f aca="false">IF(Tasks[[#This Row],[Task Name]]="","",Tasks[[#This Row],[Forecast Finish]])</f>
        <v/>
      </c>
      <c r="BC27" s="28" t="str">
        <f aca="false">IF(Tasks[[#This Row],[Task Name]]="","",IF(Tasks[[#This Row],[_IsSummary]],NETWORKDAYS.INTL(Tasks[[#This Row],[Forecast Start]],Tasks[[#This Row],[Forecast Finish]],WorkWeek,Holidays),N(Tasks[[#This Row],[Duration]])))</f>
        <v/>
      </c>
      <c r="BD27" s="96" t="str">
        <f aca="false">IF(Tasks[[#This Row],[Task Name]]="","",Tasks[[#This Row],[Work]])</f>
        <v/>
      </c>
      <c r="BE27" s="97" t="str">
        <f aca="false">IF(Tasks[[#This Row],[Task Name]]="","",Tasks[[#This Row],[Cost]])</f>
        <v/>
      </c>
      <c r="BF27" s="75"/>
      <c r="BG27" s="75"/>
      <c r="BH27" s="29"/>
      <c r="BI27" s="99"/>
      <c r="BJ27" s="98"/>
      <c r="BK27" s="28" t="str">
        <f aca="false">IF(OR(Tasks[[#This Row],[Task Name]]="",Tasks[[#This Row],[Baseline Duration]]=""),"",Tasks[[#This Row],[BL Source Duration]]-N(Tasks[[#This Row],[Baseline Duration]]))</f>
        <v/>
      </c>
      <c r="BL27" s="96" t="str">
        <f aca="false">IF(OR(Tasks[[#This Row],[Task Name]]="",Tasks[[#This Row],[Baseline Work]]=""),"",Tasks[[#This Row],[Work]]-N(Tasks[[#This Row],[Baseline Work]]))</f>
        <v/>
      </c>
      <c r="BM27" s="97" t="str">
        <f aca="false">IF(OR(Tasks[[#This Row],[Task Name]]="",Tasks[[#This Row],[Baseline Cost]]=""),"",Tasks[[#This Row],[Cost]]-N(Tasks[[#This Row],[Baseline Cost]]))</f>
        <v/>
      </c>
      <c r="BN27" s="97" t="str">
        <f aca="false">IF(Tasks[[#This Row],[Task Name]]="","",IF(Tasks[[#This Row],[_IsSummary]],SUM(INDEX(Tasks[_LeafBudget],Tasks[[#This Row],[_Row]]+1):INDEX(Tasks[_LeafBudget],Tasks[[#This Row],[_Row]]+Tasks[[#This Row],[_Descendants]])),Tasks[[#This Row],[_LeafBudget]]))</f>
        <v/>
      </c>
      <c r="BO27" s="97" t="str">
        <f aca="false">IF(Tasks[[#This Row],[Task Name]]="","",IF(Tasks[[#This Row],[_IsSummary]],SUM(INDEX(Tasks[_LeafPV],Tasks[[#This Row],[_Row]]+1):INDEX(Tasks[_LeafPV],Tasks[[#This Row],[_Row]]+Tasks[[#This Row],[_Descendants]])),Tasks[[#This Row],[_LeafPV]]))</f>
        <v/>
      </c>
      <c r="BP27" s="97" t="str">
        <f aca="false">IF(Tasks[[#This Row],[Task Name]]="","",IF(Tasks[[#This Row],[_IsSummary]],SUM(INDEX(Tasks[_LeafEV],Tasks[[#This Row],[_Row]]+1):INDEX(Tasks[_LeafEV],Tasks[[#This Row],[_Row]]+Tasks[[#This Row],[_Descendants]])),Tasks[[#This Row],[_LeafEV]]))</f>
        <v/>
      </c>
      <c r="BQ27" s="97" t="str">
        <f aca="false">IF(Tasks[[#This Row],[Task Name]]="","",IF(Tasks[[#This Row],[_IsSummary]],SUM(INDEX(Tasks[_LeafAC],Tasks[[#This Row],[_Row]]+1):INDEX(Tasks[_LeafAC],Tasks[[#This Row],[_Row]]+Tasks[[#This Row],[_Descendants]])),Tasks[[#This Row],[_LeafAC]]))</f>
        <v/>
      </c>
      <c r="BR27" s="41" t="str">
        <f aca="false">IF(Tasks[[#This Row],[Task Name]]="","",MAX(1,N(Tasks[[#This Row],[Level]])))</f>
        <v/>
      </c>
      <c r="BS27" s="41" t="n">
        <f aca="false">ROW()-ROW(Tasks[[#Headers],[ID]])</f>
        <v>22</v>
      </c>
      <c r="BT27" s="41" t="n">
        <f aca="false">IF(OR(Tasks[[#This Row],[Task Name]]="",Tasks[[#This Row],[_Level]]&lt;=1),0,IFERROR(LOOKUP(2,1/(Tasks[[#Headers],[_Level]]:Tasks[[#This Row],[_Level]]=Tasks[[#This Row],[_Level]]-1),ROW(Tasks[[#Headers],[_Level]]:Tasks[[#This Row],[_Level]])),0))</f>
        <v>0</v>
      </c>
      <c r="BU27" s="41" t="n">
        <f aca="false">IFERROR(N(INDEX(Tasks[_Level],Tasks[[#This Row],[_Row]]+1)),0)</f>
        <v>0</v>
      </c>
      <c r="BV27" s="100" t="b">
        <f aca="false">AND(Tasks[[#This Row],[Task Name]]&lt;&gt;"",Tasks[[#This Row],[_NextLevel]]&gt;Tasks[[#This Row],[_Level]])</f>
        <v>0</v>
      </c>
      <c r="BW27" s="41" t="n">
        <f aca="false">IF(Tasks[[#This Row],[_IsSummary]],COUNTIF(Tasks[WBS],Tasks[[#This Row],[WBS]]&amp;".*"),0)</f>
        <v>0</v>
      </c>
      <c r="BX27" s="41" t="n">
        <f aca="false">IF(AND(Tasks[[#This Row],[Task Name]]&lt;&gt;"",NOT(Tasks[[#This Row],[_IsSummary]])),1,0)</f>
        <v>0</v>
      </c>
      <c r="BY27" s="41" t="n">
        <f aca="false">IF(N(Tasks[[#This Row],[Pred1 UID]])=0,0,IFERROR(MATCH(Tasks[[#This Row],[Pred1 UID]],Tasks[UID],0),-1))</f>
        <v>0</v>
      </c>
      <c r="BZ27" s="41" t="n">
        <f aca="false">IF(N(Tasks[[#This Row],[Pred2 UID]])=0,0,IFERROR(MATCH(Tasks[[#This Row],[Pred2 UID]],Tasks[UID],0),-1))</f>
        <v>0</v>
      </c>
      <c r="CA27" s="41" t="n">
        <f aca="false">IF(N(Tasks[[#This Row],[Pred3 UID]])=0,0,IFERROR(MATCH(Tasks[[#This Row],[Pred3 UID]],Tasks[UID],0),-1))</f>
        <v>0</v>
      </c>
      <c r="CB27" s="41" t="n">
        <f aca="false">IF(N(Tasks[[#This Row],[Pred4 UID]])=0,0,IFERROR(MATCH(Tasks[[#This Row],[Pred4 UID]],Tasks[UID],0),-1))</f>
        <v>0</v>
      </c>
      <c r="CC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7" s="101" t="n">
        <f aca="false">IF(OR(Tasks[[#This Row],[_ConstraintCode]]=2,Tasks[[#This Row],[_ConstraintCode]]=3,Tasks[[#This Row],[_ConstraintCode]]=4,Tasks[[#This Row],[_ConstraintCode]]=6),Tasks[[#This Row],[_ConstraintStart]],0)</f>
        <v>0</v>
      </c>
      <c r="CF27" s="101" t="n">
        <f aca="false">IF(OR(Tasks[[#This Row],[_ConstraintCode]]=2,Tasks[[#This Row],[_ConstraintCode]]=3,Tasks[[#This Row],[_ConstraintCode]]=5,Tasks[[#This Row],[_ConstraintCode]]=7),Tasks[[#This Row],[_ConstraintStart]],2958465)</f>
        <v>2958465</v>
      </c>
      <c r="CG2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7" s="101" t="str">
        <f aca="false">IF(NOT(Tasks[[#This Row],[_IsLeaf]]=1),"",IF(N(Tasks[[#This Row],[Duration]])&lt;=0,Tasks[[#This Row],[_LeafCalcStart]],WORKDAY.INTL(Tasks[[#This Row],[_LeafCalcStart]],Tasks[[#This Row],[Duration]]-1,WorkWeek,Holidays)))</f>
        <v/>
      </c>
      <c r="CI2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7" s="41" t="n">
        <f aca="false">IF(NOT(Tasks[[#This Row],[_IsLeaf]]=1),0,IF(N(Tasks[[#This Row],[Actual Finish]])&gt;0,1,MIN(1,N(Tasks[[#This Row],[% Complete]]))))</f>
        <v>0</v>
      </c>
      <c r="CL27" s="41" t="n">
        <f aca="false">IF(OR(NOT(Tasks[[#This Row],[_IsLeaf]]=1),Tasks[[#This Row],[Resource]]=""),0,N(Tasks[[#This Row],[Duration]])*HoursPerDay*IF(Tasks[[#This Row],[Units]]="",DefaultUnits,Tasks[[#This Row],[Units]]))</f>
        <v>0</v>
      </c>
      <c r="CM27" s="41" t="n">
        <f aca="false">IF(Tasks[[#This Row],[_LeafWork]]=0,0,Tasks[[#This Row],[_LeafWork]]*IFERROR(INDEX(res_Rate,MATCH(Tasks[[#This Row],[Resource]],res_Name,0)),0))</f>
        <v>0</v>
      </c>
      <c r="CN27" s="41" t="n">
        <f aca="false">Tasks[[#This Row],[_LeafWork]]+IF(Tasks[[#This Row],[_IsLeaf]]=1,SUMIFS(asg_Work,asg_TaskUID,Tasks[[#This Row],[UID]],asg_Valid,1),0)</f>
        <v>0</v>
      </c>
      <c r="CO27" s="41" t="n">
        <f aca="false">Tasks[[#This Row],[_LeafCost]]+IF(Tasks[[#This Row],[_IsLeaf]]=1,SUMIFS(asg_Cost,asg_TaskUID,Tasks[[#This Row],[UID]],asg_Valid,1),0)</f>
        <v>0</v>
      </c>
      <c r="CP27" s="41" t="n">
        <f aca="false">IF(Tasks[[#This Row],[_LeafTotalCost]]=0,Tasks[[#This Row],[_LeafAC]],Tasks[[#This Row],[_LeafAC]]*Tasks[[#This Row],[_LeafCost]]/Tasks[[#This Row],[_LeafTotalCost]])</f>
        <v>0</v>
      </c>
      <c r="CQ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7" s="41" t="n">
        <f aca="false">IF(NOT(Tasks[[#This Row],[_IsLeaf]]=1),0,MAX(_xlfn.MAXIFS(Tasks[_Row],Tasks[Pred1 UID],Tasks[[#This Row],[UID]]),_xlfn.MAXIFS(Tasks[_Row],Tasks[Pred2 UID],Tasks[[#This Row],[UID]]),_xlfn.MAXIFS(Tasks[_Row],Tasks[Pred3 UID],Tasks[[#This Row],[UID]]),_xlfn.MAXIFS(Tasks[_Row],Tasks[Pred4 UID],Tasks[[#This Row],[UID]])))</f>
        <v>0</v>
      </c>
      <c r="CZ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7" s="101" t="str">
        <f aca="false">IF(NOT(Tasks[[#This Row],[_IsLeaf]]=1),"",IF(N(Tasks[[#This Row],[Duration]])&lt;=0,Tasks[[#This Row],[_LeafLateFinish]],WORKDAY.INTL(Tasks[[#This Row],[_LeafLateFinish]],-(Tasks[[#This Row],[Duration]]-1),WorkWeek,Holidays)))</f>
        <v/>
      </c>
      <c r="DC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7" s="100" t="b">
        <f aca="false">AND(Tasks[[#This Row],[_IsLeaf]]=1,Tasks[[#This Row],[_LeafProgress]]&lt;1,N(Tasks[[#This Row],[_LeafTotalSlack]])&lt;=CriticalSlackDays)</f>
        <v>0</v>
      </c>
      <c r="DE27" s="41" t="n">
        <f aca="false">IF(AND(Tasks[[#This Row],[_IsLeaf]]=1,Tasks[[#This Row],[_ConstraintCode]]=1,Tasks[[#This Row],[Mode]]&lt;&gt;"Manual",N(Tasks[[#This Row],[Actual Start]])=0),MAX(0,N(Tasks[[#This Row],[Free Slack]])),0)</f>
        <v>0</v>
      </c>
      <c r="DF27" s="101" t="str">
        <f aca="false">IF(NOT(Tasks[[#This Row],[_IsLeaf]]=1),"",IF(Tasks[[#This Row],[_AlapShift]]=0,Tasks[[#This Row],[_LeafCalcStart]],WORKDAY.INTL(Tasks[[#This Row],[_LeafCalcStart]],Tasks[[#This Row],[_AlapShift]],WorkWeek,Holidays)))</f>
        <v/>
      </c>
      <c r="DG27" s="101" t="str">
        <f aca="false">IF(NOT(Tasks[[#This Row],[_IsLeaf]]=1),"",IF(Tasks[[#This Row],[_AlapShift]]=0,Tasks[[#This Row],[_LeafCalcFinish]],WORKDAY.INTL(Tasks[[#This Row],[_LeafCalcFinish]],Tasks[[#This Row],[_AlapShift]],WorkWeek,Holidays)))</f>
        <v/>
      </c>
      <c r="DH27" s="101" t="str">
        <f aca="false">IF(NOT(Tasks[[#This Row],[_IsLeaf]]=1),"",IF(Tasks[[#This Row],[_AlapShift]]=0,Tasks[[#This Row],[_LeafFcstStart]],WORKDAY.INTL(Tasks[[#This Row],[_LeafFcstStart]],Tasks[[#This Row],[_AlapShift]],WorkWeek,Holidays)))</f>
        <v/>
      </c>
      <c r="DI27" s="101" t="str">
        <f aca="false">IF(NOT(Tasks[[#This Row],[_IsLeaf]]=1),"",IF(Tasks[[#This Row],[_AlapShift]]=0,Tasks[[#This Row],[_LeafFcstFinish]],WORKDAY.INTL(Tasks[[#This Row],[_LeafFcstFinish]],Tasks[[#This Row],[_AlapShift]],WorkWeek,Holidays)))</f>
        <v/>
      </c>
      <c r="DJ27" s="101" t="str">
        <f aca="false">IF(Tasks[[#This Row],[Task Name]]="","",IF(Tasks[[#This Row],[_IsSummary]],MIN(INDEX(Tasks[_ShownCalcStart],Tasks[[#This Row],[_Row]]+1):INDEX(Tasks[_ShownCalcStart],Tasks[[#This Row],[_Row]]+Tasks[[#This Row],[_Descendants]])),Tasks[[#This Row],[_ShownCalcStart]]))</f>
        <v/>
      </c>
      <c r="DK27" s="101" t="str">
        <f aca="false">IF(Tasks[[#This Row],[Task Name]]="","",IF(Tasks[[#This Row],[_IsSummary]],MAX(INDEX(Tasks[_ShownCalcFinish],Tasks[[#This Row],[_Row]]+1):INDEX(Tasks[_ShownCalcFinish],Tasks[[#This Row],[_Row]]+Tasks[[#This Row],[_Descendants]])),Tasks[[#This Row],[_ShownCalcFinish]]))</f>
        <v/>
      </c>
      <c r="D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7" s="41" t="n">
        <f aca="false">IF(AND(Tasks[[#This Row],[_IsLeaf]]=1,Tasks[[#This Row],[_LeafTotalWork]]&gt;0),NETWORKDAYS.INTL(ProjectStart,Tasks[[#This Row],[_ShownFcstStart]],WorkWeek,Holidays),0)</f>
        <v>0</v>
      </c>
      <c r="DY27" s="41" t="n">
        <f aca="false">IF(AND(Tasks[[#This Row],[_IsLeaf]]=1,Tasks[[#This Row],[_LeafTotalWork]]&gt;0),MAX(Tasks[[#This Row],[_StartWorkday]],NETWORKDAYS.INTL(ProjectStart,Tasks[[#This Row],[_ShownFcstFinish]],WorkWeek,Holidays)),0)</f>
        <v>0</v>
      </c>
      <c r="DZ27" s="41" t="n">
        <f aca="false">IF(AND(Tasks[[#This Row],[_IsLeaf]]=1,Tasks[[#This Row],[_LeafTotalWork]]&gt;0),Tasks[[#This Row],[_LeafWork]]/(Tasks[[#This Row],[_FinishWorkday]]-Tasks[[#This Row],[_StartWorkday]]+1),0)</f>
        <v>0</v>
      </c>
      <c r="EA27" s="41" t="n">
        <f aca="false">Tasks[[#This Row],[_WorkPerWorkday]]*(Tasks[[#This Row],[_StartWorkday]]-1)</f>
        <v>-0</v>
      </c>
      <c r="EB27" s="41" t="n">
        <f aca="false">IF(Tasks[[#This Row],[_IsLeaf]]=1,MAX(N(Tasks[[#This Row],[Duration]]),0.1),0)</f>
        <v>0</v>
      </c>
      <c r="EC27" s="41" t="n">
        <f aca="false">Tasks[[#This Row],[_WeightDur]]*Tasks[[#This Row],[_LeafProgress]]</f>
        <v>0</v>
      </c>
      <c r="ED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7" s="41" t="str">
        <f aca="false">IF(AND(Tasks[[#This Row],[_IsLeaf]]=1,N(Tasks[[#This Row],[Duration]])=0,Tasks[[#This Row],[_LeafProgress]]&lt;1),Tasks[[#This Row],[_ShownFcstFinish]]+Tasks[[#This Row],[_Row]]/100000,"")</f>
        <v/>
      </c>
      <c r="EF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7" s="41" t="n">
        <f aca="false">IF(NOT(Tasks[[#This Row],[_IsLeaf]]=1),0,IF(Tasks[[#This Row],[Baseline Cost]]="",Tasks[[#This Row],[_LeafTotalCost]],N(Tasks[[#This Row],[Baseline Cost]])))</f>
        <v>0</v>
      </c>
      <c r="EH27" s="41" t="n">
        <f aca="false">Tasks[[#This Row],[_LeafBudget]]*Tasks[[#This Row],[_PlannedPct]]</f>
        <v>0</v>
      </c>
      <c r="EI27" s="41" t="n">
        <f aca="false">Tasks[[#This Row],[_LeafBudget]]*Tasks[[#This Row],[_LeafProgress]]</f>
        <v>0</v>
      </c>
      <c r="EJ27" s="41" t="n">
        <f aca="false">IF(NOT(Tasks[[#This Row],[_IsLeaf]]=1),0,IF(Tasks[[#This Row],[Actual Cost]]="",Tasks[[#This Row],[_LeafTotalCost]]*Tasks[[#This Row],[_LeafProgress]],N(Tasks[[#This Row],[Actual Cost]])))</f>
        <v>0</v>
      </c>
      <c r="EK27" s="41" t="str">
        <f aca="false">IF(Tasks[[#This Row],[Task Name]]="","",LEFT(Tasks[[#This Row],[WBS]],FIND(".",Tasks[[#This Row],[WBS]]&amp;".")-1))</f>
        <v/>
      </c>
      <c r="EL27" s="41" t="str">
        <f aca="false">IF(AND(Tasks[[#This Row],[Task Name]]&lt;&gt;"",Tasks[[#This Row],[_Level]]=1),Tasks[[#This Row],[_Row]],"")</f>
        <v/>
      </c>
      <c r="EM27" s="41" t="str">
        <f aca="false">IF(AND(Tasks[[#This Row],[_IsLeaf]]=1,N(Tasks[[#This Row],[Duration]])=0),Tasks[[#This Row],[Planned Finish]]+Tasks[[#This Row],[_Row]]/100000,"")</f>
        <v/>
      </c>
      <c r="EN27" s="41" t="str">
        <f aca="false">IF(AND(Tasks[[#This Row],[_IsLeaf]]=1,Tasks[[#This Row],[_LeafProgress]]&lt;1,OR(N(Tasks[[#This Row],[Finish Var]])&gt;0,Tasks[[#This Row],[Status]]="Late Start")),MAX(0,Tasks[[#This Row],[Finish Var]])+1-Tasks[[#This Row],[_Row]]/1000000,"")</f>
        <v/>
      </c>
      <c r="EO27" s="41" t="str">
        <f aca="false">IF(AND(Tasks[[#This Row],[_IsLeaf]]=1,N(Tasks[[#This Row],[Actual Start]])=0,Tasks[[#This Row],[_ShownFcstStart]]&gt;=StatusDate,Tasks[[#This Row],[_ShownFcstStart]]&lt;=LookaheadEnd),Tasks[[#This Row],[_ShownFcstStart]]+Tasks[[#This Row],[_Row]]/100000,"")</f>
        <v/>
      </c>
      <c r="EP27" s="41" t="str">
        <f aca="false">IF(AND(Tasks[[#This Row],[_IsLeaf]]=1,Tasks[[#This Row],[_LeafProgress]]&lt;1,Tasks[[#This Row],[_ShownFcstFinish]]&gt;=StatusDate,Tasks[[#This Row],[_ShownFcstFinish]]&lt;=LookaheadEnd),Tasks[[#This Row],[_ShownFcstFinish]]+Tasks[[#This Row],[_Row]]/100000,"")</f>
        <v/>
      </c>
      <c r="EQ27" s="41" t="str">
        <f aca="false">IF(Tasks[[#This Row],[_LeafCritical]],Tasks[[#This Row],[_ShownFcstStart]]+Tasks[[#This Row],[_Row]]/100000,"")</f>
        <v/>
      </c>
      <c r="ER27" s="41" t="n">
        <f aca="false">Tasks[[#This Row],[_LeafWork]]*Tasks[[#This Row],[_LeafProgress]]</f>
        <v>0</v>
      </c>
      <c r="ES27" s="101" t="str">
        <f aca="false">IF(AND(Tasks[[#This Row],[_IsLeaf]]=1,Tasks[[#This Row],[_LeafProgress]]&gt;=1),IF(N(Tasks[[#This Row],[Actual Finish]])&gt;0,Tasks[[#This Row],[Actual Finish]],Tasks[[#This Row],[_ShownFcstFinish]]),"")</f>
        <v/>
      </c>
      <c r="ET27" s="41" t="n">
        <f aca="false">IF(Tasks[[#This Row],[_IsLeaf]]=1,N(Tasks[[#This Row],[Story Points]]),0)</f>
        <v>0</v>
      </c>
      <c r="EU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29"/>
      <c r="O28" s="29"/>
      <c r="P28" s="29"/>
      <c r="Q28" s="29"/>
      <c r="R28" s="29"/>
      <c r="S28" s="29"/>
      <c r="T28" s="30"/>
      <c r="U28" s="75"/>
      <c r="V28" s="75"/>
      <c r="W28" s="25" t="str">
        <f aca="false">IF(Tasks[[#This Row],[Task Name]]="","",IF(N(Tasks[[#This Row],[Baseline Start]])&gt;0,Tasks[[#This Row],[Baseline Start]],Tasks[[#This Row],[_CalcStart]]))</f>
        <v/>
      </c>
      <c r="X28" s="25" t="str">
        <f aca="false">IF(Tasks[[#This Row],[Task Name]]="","",IF(N(Tasks[[#This Row],[Baseline Finish]])&gt;0,Tasks[[#This Row],[Baseline Finish]],Tasks[[#This Row],[_CalcFinish]]))</f>
        <v/>
      </c>
      <c r="Y28" s="75"/>
      <c r="Z28" s="75"/>
      <c r="AA28" s="25" t="str">
        <f aca="false">IF(Tasks[[#This Row],[Task Name]]="","",IF(Tasks[[#This Row],[_IsSummary]],MIN(INDEX(Tasks[_ShownFcstStart],Tasks[[#This Row],[_Row]]+1):INDEX(Tasks[_ShownFcstStart],Tasks[[#This Row],[_Row]]+Tasks[[#This Row],[_Descendants]])),Tasks[[#This Row],[_ShownFcstStart]]))</f>
        <v/>
      </c>
      <c r="AB28" s="25" t="str">
        <f aca="false">IF(Tasks[[#This Row],[Task Name]]="","",IF(Tasks[[#This Row],[_IsSummary]],MAX(INDEX(Tasks[_ShownFcstFinish],Tasks[[#This Row],[_Row]]+1):INDEX(Tasks[_ShownFcstFinish],Tasks[[#This Row],[_Row]]+Tasks[[#This Row],[_Descendants]])),Tasks[[#This Row],[_ShownFcstFinish]]))</f>
        <v/>
      </c>
      <c r="AC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8" s="25" t="str">
        <f aca="false">IF(Tasks[[#This Row],[Task Name]]="","",IF(Tasks[[#This Row],[_IsSummary]],MIN(INDEX(Tasks[_LeafLateStart],Tasks[[#This Row],[_Row]]+1):INDEX(Tasks[_LeafLateStart],Tasks[[#This Row],[_Row]]+Tasks[[#This Row],[_Descendants]])),Tasks[[#This Row],[_LeafLateStart]]))</f>
        <v/>
      </c>
      <c r="AF28" s="25" t="str">
        <f aca="false">IF(Tasks[[#This Row],[Task Name]]="","",IF(Tasks[[#This Row],[_IsSummary]],MAX(INDEX(Tasks[_LeafLateFinish],Tasks[[#This Row],[_Row]]+1):INDEX(Tasks[_LeafLateFinish],Tasks[[#This Row],[_Row]]+Tasks[[#This Row],[_Descendants]])),Tasks[[#This Row],[_LeafLateFinish]]))</f>
        <v/>
      </c>
      <c r="AG28" s="28" t="str">
        <f aca="false">IF(Tasks[[#This Row],[Task Name]]="","",IF(Tasks[[#This Row],[_IsSummary]],MIN(INDEX(Tasks[_LeafTotalSlack],Tasks[[#This Row],[_Row]]+1):INDEX(Tasks[_LeafTotalSlack],Tasks[[#This Row],[_Row]]+Tasks[[#This Row],[_Descendants]])),Tasks[[#This Row],[_LeafTotalSlack]]))</f>
        <v/>
      </c>
      <c r="AH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8" s="28" t="str">
        <f aca="false">IF(Tasks[[#This Row],[Task Name]]="","",IF(IF(Tasks[[#This Row],[_IsSummary]],COUNTIF(INDEX(Tasks[_LeafCritical],Tasks[[#This Row],[_Row]]+1):INDEX(Tasks[_LeafCritical],Tasks[[#This Row],[_Row]]+Tasks[[#This Row],[_Descendants]]),TRUE())&gt;0,Tasks[[#This Row],[_LeafCritical]]),"Yes",""))</f>
        <v/>
      </c>
      <c r="AJ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8" s="89"/>
      <c r="AM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8" s="28" t="str">
        <f aca="false">IF(Tasks[[#This Row],[Task Name]]="","",IF(Tasks[[#This Row],[Progress]]&gt;=1,"Complete",IF(OR(N(Tasks[[#This Row],[Actual Start]])&gt;0,Tasks[[#This Row],[Progress]]&gt;0),IF(Tasks[[#This Row],[Finish Var]]&gt;0,"Behind","In Progress"),IF(Tasks[[#This Row],[Planned Start]]&lt;StatusDate,"Late Start","Not Started"))))</f>
        <v/>
      </c>
      <c r="AO28" s="30"/>
      <c r="AP28" s="89"/>
      <c r="AQ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8" s="96" t="str">
        <f aca="false">IF(Tasks[[#This Row],[Task Name]]="","",IF(Tasks[[#This Row],[_IsSummary]],SUM(INDEX(Tasks[_LeafTotalWork],Tasks[[#This Row],[_Row]]+1):INDEX(Tasks[_LeafTotalWork],Tasks[[#This Row],[_Row]]+Tasks[[#This Row],[_Descendants]])),Tasks[[#This Row],[_LeafTotalWork]]))</f>
        <v/>
      </c>
      <c r="AT28" s="97" t="str">
        <f aca="false">IF(Tasks[[#This Row],[Task Name]]="","",IF(Tasks[[#This Row],[_IsSummary]],SUM(INDEX(Tasks[_LeafTotalCost],Tasks[[#This Row],[_Row]]+1):INDEX(Tasks[_LeafTotalCost],Tasks[[#This Row],[_Row]]+Tasks[[#This Row],[_Descendants]])),Tasks[[#This Row],[_LeafTotalCost]]))</f>
        <v/>
      </c>
      <c r="AU28" s="98"/>
      <c r="AV28" s="29"/>
      <c r="AW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8" s="83"/>
      <c r="AY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8" s="30"/>
      <c r="BA28" s="25" t="str">
        <f aca="false">IF(Tasks[[#This Row],[Task Name]]="","",Tasks[[#This Row],[Forecast Start]])</f>
        <v/>
      </c>
      <c r="BB28" s="25" t="str">
        <f aca="false">IF(Tasks[[#This Row],[Task Name]]="","",Tasks[[#This Row],[Forecast Finish]])</f>
        <v/>
      </c>
      <c r="BC28" s="28" t="str">
        <f aca="false">IF(Tasks[[#This Row],[Task Name]]="","",IF(Tasks[[#This Row],[_IsSummary]],NETWORKDAYS.INTL(Tasks[[#This Row],[Forecast Start]],Tasks[[#This Row],[Forecast Finish]],WorkWeek,Holidays),N(Tasks[[#This Row],[Duration]])))</f>
        <v/>
      </c>
      <c r="BD28" s="96" t="str">
        <f aca="false">IF(Tasks[[#This Row],[Task Name]]="","",Tasks[[#This Row],[Work]])</f>
        <v/>
      </c>
      <c r="BE28" s="97" t="str">
        <f aca="false">IF(Tasks[[#This Row],[Task Name]]="","",Tasks[[#This Row],[Cost]])</f>
        <v/>
      </c>
      <c r="BF28" s="75"/>
      <c r="BG28" s="75"/>
      <c r="BH28" s="29"/>
      <c r="BI28" s="99"/>
      <c r="BJ28" s="98"/>
      <c r="BK28" s="28" t="str">
        <f aca="false">IF(OR(Tasks[[#This Row],[Task Name]]="",Tasks[[#This Row],[Baseline Duration]]=""),"",Tasks[[#This Row],[BL Source Duration]]-N(Tasks[[#This Row],[Baseline Duration]]))</f>
        <v/>
      </c>
      <c r="BL28" s="96" t="str">
        <f aca="false">IF(OR(Tasks[[#This Row],[Task Name]]="",Tasks[[#This Row],[Baseline Work]]=""),"",Tasks[[#This Row],[Work]]-N(Tasks[[#This Row],[Baseline Work]]))</f>
        <v/>
      </c>
      <c r="BM28" s="97" t="str">
        <f aca="false">IF(OR(Tasks[[#This Row],[Task Name]]="",Tasks[[#This Row],[Baseline Cost]]=""),"",Tasks[[#This Row],[Cost]]-N(Tasks[[#This Row],[Baseline Cost]]))</f>
        <v/>
      </c>
      <c r="BN28" s="97" t="str">
        <f aca="false">IF(Tasks[[#This Row],[Task Name]]="","",IF(Tasks[[#This Row],[_IsSummary]],SUM(INDEX(Tasks[_LeafBudget],Tasks[[#This Row],[_Row]]+1):INDEX(Tasks[_LeafBudget],Tasks[[#This Row],[_Row]]+Tasks[[#This Row],[_Descendants]])),Tasks[[#This Row],[_LeafBudget]]))</f>
        <v/>
      </c>
      <c r="BO28" s="97" t="str">
        <f aca="false">IF(Tasks[[#This Row],[Task Name]]="","",IF(Tasks[[#This Row],[_IsSummary]],SUM(INDEX(Tasks[_LeafPV],Tasks[[#This Row],[_Row]]+1):INDEX(Tasks[_LeafPV],Tasks[[#This Row],[_Row]]+Tasks[[#This Row],[_Descendants]])),Tasks[[#This Row],[_LeafPV]]))</f>
        <v/>
      </c>
      <c r="BP28" s="97" t="str">
        <f aca="false">IF(Tasks[[#This Row],[Task Name]]="","",IF(Tasks[[#This Row],[_IsSummary]],SUM(INDEX(Tasks[_LeafEV],Tasks[[#This Row],[_Row]]+1):INDEX(Tasks[_LeafEV],Tasks[[#This Row],[_Row]]+Tasks[[#This Row],[_Descendants]])),Tasks[[#This Row],[_LeafEV]]))</f>
        <v/>
      </c>
      <c r="BQ28" s="97" t="str">
        <f aca="false">IF(Tasks[[#This Row],[Task Name]]="","",IF(Tasks[[#This Row],[_IsSummary]],SUM(INDEX(Tasks[_LeafAC],Tasks[[#This Row],[_Row]]+1):INDEX(Tasks[_LeafAC],Tasks[[#This Row],[_Row]]+Tasks[[#This Row],[_Descendants]])),Tasks[[#This Row],[_LeafAC]]))</f>
        <v/>
      </c>
      <c r="BR28" s="41" t="str">
        <f aca="false">IF(Tasks[[#This Row],[Task Name]]="","",MAX(1,N(Tasks[[#This Row],[Level]])))</f>
        <v/>
      </c>
      <c r="BS28" s="41" t="n">
        <f aca="false">ROW()-ROW(Tasks[[#Headers],[ID]])</f>
        <v>23</v>
      </c>
      <c r="BT28" s="41" t="n">
        <f aca="false">IF(OR(Tasks[[#This Row],[Task Name]]="",Tasks[[#This Row],[_Level]]&lt;=1),0,IFERROR(LOOKUP(2,1/(Tasks[[#Headers],[_Level]]:Tasks[[#This Row],[_Level]]=Tasks[[#This Row],[_Level]]-1),ROW(Tasks[[#Headers],[_Level]]:Tasks[[#This Row],[_Level]])),0))</f>
        <v>0</v>
      </c>
      <c r="BU28" s="41" t="n">
        <f aca="false">IFERROR(N(INDEX(Tasks[_Level],Tasks[[#This Row],[_Row]]+1)),0)</f>
        <v>0</v>
      </c>
      <c r="BV28" s="100" t="b">
        <f aca="false">AND(Tasks[[#This Row],[Task Name]]&lt;&gt;"",Tasks[[#This Row],[_NextLevel]]&gt;Tasks[[#This Row],[_Level]])</f>
        <v>0</v>
      </c>
      <c r="BW28" s="41" t="n">
        <f aca="false">IF(Tasks[[#This Row],[_IsSummary]],COUNTIF(Tasks[WBS],Tasks[[#This Row],[WBS]]&amp;".*"),0)</f>
        <v>0</v>
      </c>
      <c r="BX28" s="41" t="n">
        <f aca="false">IF(AND(Tasks[[#This Row],[Task Name]]&lt;&gt;"",NOT(Tasks[[#This Row],[_IsSummary]])),1,0)</f>
        <v>0</v>
      </c>
      <c r="BY28" s="41" t="n">
        <f aca="false">IF(N(Tasks[[#This Row],[Pred1 UID]])=0,0,IFERROR(MATCH(Tasks[[#This Row],[Pred1 UID]],Tasks[UID],0),-1))</f>
        <v>0</v>
      </c>
      <c r="BZ28" s="41" t="n">
        <f aca="false">IF(N(Tasks[[#This Row],[Pred2 UID]])=0,0,IFERROR(MATCH(Tasks[[#This Row],[Pred2 UID]],Tasks[UID],0),-1))</f>
        <v>0</v>
      </c>
      <c r="CA28" s="41" t="n">
        <f aca="false">IF(N(Tasks[[#This Row],[Pred3 UID]])=0,0,IFERROR(MATCH(Tasks[[#This Row],[Pred3 UID]],Tasks[UID],0),-1))</f>
        <v>0</v>
      </c>
      <c r="CB28" s="41" t="n">
        <f aca="false">IF(N(Tasks[[#This Row],[Pred4 UID]])=0,0,IFERROR(MATCH(Tasks[[#This Row],[Pred4 UID]],Tasks[UID],0),-1))</f>
        <v>0</v>
      </c>
      <c r="CC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8" s="101" t="n">
        <f aca="false">IF(OR(Tasks[[#This Row],[_ConstraintCode]]=2,Tasks[[#This Row],[_ConstraintCode]]=3,Tasks[[#This Row],[_ConstraintCode]]=4,Tasks[[#This Row],[_ConstraintCode]]=6),Tasks[[#This Row],[_ConstraintStart]],0)</f>
        <v>0</v>
      </c>
      <c r="CF28" s="101" t="n">
        <f aca="false">IF(OR(Tasks[[#This Row],[_ConstraintCode]]=2,Tasks[[#This Row],[_ConstraintCode]]=3,Tasks[[#This Row],[_ConstraintCode]]=5,Tasks[[#This Row],[_ConstraintCode]]=7),Tasks[[#This Row],[_ConstraintStart]],2958465)</f>
        <v>2958465</v>
      </c>
      <c r="CG2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8" s="101" t="str">
        <f aca="false">IF(NOT(Tasks[[#This Row],[_IsLeaf]]=1),"",IF(N(Tasks[[#This Row],[Duration]])&lt;=0,Tasks[[#This Row],[_LeafCalcStart]],WORKDAY.INTL(Tasks[[#This Row],[_LeafCalcStart]],Tasks[[#This Row],[Duration]]-1,WorkWeek,Holidays)))</f>
        <v/>
      </c>
      <c r="CI2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8" s="41" t="n">
        <f aca="false">IF(NOT(Tasks[[#This Row],[_IsLeaf]]=1),0,IF(N(Tasks[[#This Row],[Actual Finish]])&gt;0,1,MIN(1,N(Tasks[[#This Row],[% Complete]]))))</f>
        <v>0</v>
      </c>
      <c r="CL28" s="41" t="n">
        <f aca="false">IF(OR(NOT(Tasks[[#This Row],[_IsLeaf]]=1),Tasks[[#This Row],[Resource]]=""),0,N(Tasks[[#This Row],[Duration]])*HoursPerDay*IF(Tasks[[#This Row],[Units]]="",DefaultUnits,Tasks[[#This Row],[Units]]))</f>
        <v>0</v>
      </c>
      <c r="CM28" s="41" t="n">
        <f aca="false">IF(Tasks[[#This Row],[_LeafWork]]=0,0,Tasks[[#This Row],[_LeafWork]]*IFERROR(INDEX(res_Rate,MATCH(Tasks[[#This Row],[Resource]],res_Name,0)),0))</f>
        <v>0</v>
      </c>
      <c r="CN28" s="41" t="n">
        <f aca="false">Tasks[[#This Row],[_LeafWork]]+IF(Tasks[[#This Row],[_IsLeaf]]=1,SUMIFS(asg_Work,asg_TaskUID,Tasks[[#This Row],[UID]],asg_Valid,1),0)</f>
        <v>0</v>
      </c>
      <c r="CO28" s="41" t="n">
        <f aca="false">Tasks[[#This Row],[_LeafCost]]+IF(Tasks[[#This Row],[_IsLeaf]]=1,SUMIFS(asg_Cost,asg_TaskUID,Tasks[[#This Row],[UID]],asg_Valid,1),0)</f>
        <v>0</v>
      </c>
      <c r="CP28" s="41" t="n">
        <f aca="false">IF(Tasks[[#This Row],[_LeafTotalCost]]=0,Tasks[[#This Row],[_LeafAC]],Tasks[[#This Row],[_LeafAC]]*Tasks[[#This Row],[_LeafCost]]/Tasks[[#This Row],[_LeafTotalCost]])</f>
        <v>0</v>
      </c>
      <c r="CQ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8" s="41" t="n">
        <f aca="false">IF(NOT(Tasks[[#This Row],[_IsLeaf]]=1),0,MAX(_xlfn.MAXIFS(Tasks[_Row],Tasks[Pred1 UID],Tasks[[#This Row],[UID]]),_xlfn.MAXIFS(Tasks[_Row],Tasks[Pred2 UID],Tasks[[#This Row],[UID]]),_xlfn.MAXIFS(Tasks[_Row],Tasks[Pred3 UID],Tasks[[#This Row],[UID]]),_xlfn.MAXIFS(Tasks[_Row],Tasks[Pred4 UID],Tasks[[#This Row],[UID]])))</f>
        <v>0</v>
      </c>
      <c r="CZ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8" s="101" t="str">
        <f aca="false">IF(NOT(Tasks[[#This Row],[_IsLeaf]]=1),"",IF(N(Tasks[[#This Row],[Duration]])&lt;=0,Tasks[[#This Row],[_LeafLateFinish]],WORKDAY.INTL(Tasks[[#This Row],[_LeafLateFinish]],-(Tasks[[#This Row],[Duration]]-1),WorkWeek,Holidays)))</f>
        <v/>
      </c>
      <c r="DC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8" s="100" t="b">
        <f aca="false">AND(Tasks[[#This Row],[_IsLeaf]]=1,Tasks[[#This Row],[_LeafProgress]]&lt;1,N(Tasks[[#This Row],[_LeafTotalSlack]])&lt;=CriticalSlackDays)</f>
        <v>0</v>
      </c>
      <c r="DE28" s="41" t="n">
        <f aca="false">IF(AND(Tasks[[#This Row],[_IsLeaf]]=1,Tasks[[#This Row],[_ConstraintCode]]=1,Tasks[[#This Row],[Mode]]&lt;&gt;"Manual",N(Tasks[[#This Row],[Actual Start]])=0),MAX(0,N(Tasks[[#This Row],[Free Slack]])),0)</f>
        <v>0</v>
      </c>
      <c r="DF28" s="101" t="str">
        <f aca="false">IF(NOT(Tasks[[#This Row],[_IsLeaf]]=1),"",IF(Tasks[[#This Row],[_AlapShift]]=0,Tasks[[#This Row],[_LeafCalcStart]],WORKDAY.INTL(Tasks[[#This Row],[_LeafCalcStart]],Tasks[[#This Row],[_AlapShift]],WorkWeek,Holidays)))</f>
        <v/>
      </c>
      <c r="DG28" s="101" t="str">
        <f aca="false">IF(NOT(Tasks[[#This Row],[_IsLeaf]]=1),"",IF(Tasks[[#This Row],[_AlapShift]]=0,Tasks[[#This Row],[_LeafCalcFinish]],WORKDAY.INTL(Tasks[[#This Row],[_LeafCalcFinish]],Tasks[[#This Row],[_AlapShift]],WorkWeek,Holidays)))</f>
        <v/>
      </c>
      <c r="DH28" s="101" t="str">
        <f aca="false">IF(NOT(Tasks[[#This Row],[_IsLeaf]]=1),"",IF(Tasks[[#This Row],[_AlapShift]]=0,Tasks[[#This Row],[_LeafFcstStart]],WORKDAY.INTL(Tasks[[#This Row],[_LeafFcstStart]],Tasks[[#This Row],[_AlapShift]],WorkWeek,Holidays)))</f>
        <v/>
      </c>
      <c r="DI28" s="101" t="str">
        <f aca="false">IF(NOT(Tasks[[#This Row],[_IsLeaf]]=1),"",IF(Tasks[[#This Row],[_AlapShift]]=0,Tasks[[#This Row],[_LeafFcstFinish]],WORKDAY.INTL(Tasks[[#This Row],[_LeafFcstFinish]],Tasks[[#This Row],[_AlapShift]],WorkWeek,Holidays)))</f>
        <v/>
      </c>
      <c r="DJ28" s="101" t="str">
        <f aca="false">IF(Tasks[[#This Row],[Task Name]]="","",IF(Tasks[[#This Row],[_IsSummary]],MIN(INDEX(Tasks[_ShownCalcStart],Tasks[[#This Row],[_Row]]+1):INDEX(Tasks[_ShownCalcStart],Tasks[[#This Row],[_Row]]+Tasks[[#This Row],[_Descendants]])),Tasks[[#This Row],[_ShownCalcStart]]))</f>
        <v/>
      </c>
      <c r="DK28" s="101" t="str">
        <f aca="false">IF(Tasks[[#This Row],[Task Name]]="","",IF(Tasks[[#This Row],[_IsSummary]],MAX(INDEX(Tasks[_ShownCalcFinish],Tasks[[#This Row],[_Row]]+1):INDEX(Tasks[_ShownCalcFinish],Tasks[[#This Row],[_Row]]+Tasks[[#This Row],[_Descendants]])),Tasks[[#This Row],[_ShownCalcFinish]]))</f>
        <v/>
      </c>
      <c r="D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8" s="41" t="n">
        <f aca="false">IF(AND(Tasks[[#This Row],[_IsLeaf]]=1,Tasks[[#This Row],[_LeafTotalWork]]&gt;0),NETWORKDAYS.INTL(ProjectStart,Tasks[[#This Row],[_ShownFcstStart]],WorkWeek,Holidays),0)</f>
        <v>0</v>
      </c>
      <c r="DY28" s="41" t="n">
        <f aca="false">IF(AND(Tasks[[#This Row],[_IsLeaf]]=1,Tasks[[#This Row],[_LeafTotalWork]]&gt;0),MAX(Tasks[[#This Row],[_StartWorkday]],NETWORKDAYS.INTL(ProjectStart,Tasks[[#This Row],[_ShownFcstFinish]],WorkWeek,Holidays)),0)</f>
        <v>0</v>
      </c>
      <c r="DZ28" s="41" t="n">
        <f aca="false">IF(AND(Tasks[[#This Row],[_IsLeaf]]=1,Tasks[[#This Row],[_LeafTotalWork]]&gt;0),Tasks[[#This Row],[_LeafWork]]/(Tasks[[#This Row],[_FinishWorkday]]-Tasks[[#This Row],[_StartWorkday]]+1),0)</f>
        <v>0</v>
      </c>
      <c r="EA28" s="41" t="n">
        <f aca="false">Tasks[[#This Row],[_WorkPerWorkday]]*(Tasks[[#This Row],[_StartWorkday]]-1)</f>
        <v>-0</v>
      </c>
      <c r="EB28" s="41" t="n">
        <f aca="false">IF(Tasks[[#This Row],[_IsLeaf]]=1,MAX(N(Tasks[[#This Row],[Duration]]),0.1),0)</f>
        <v>0</v>
      </c>
      <c r="EC28" s="41" t="n">
        <f aca="false">Tasks[[#This Row],[_WeightDur]]*Tasks[[#This Row],[_LeafProgress]]</f>
        <v>0</v>
      </c>
      <c r="ED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8" s="41" t="str">
        <f aca="false">IF(AND(Tasks[[#This Row],[_IsLeaf]]=1,N(Tasks[[#This Row],[Duration]])=0,Tasks[[#This Row],[_LeafProgress]]&lt;1),Tasks[[#This Row],[_ShownFcstFinish]]+Tasks[[#This Row],[_Row]]/100000,"")</f>
        <v/>
      </c>
      <c r="EF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8" s="41" t="n">
        <f aca="false">IF(NOT(Tasks[[#This Row],[_IsLeaf]]=1),0,IF(Tasks[[#This Row],[Baseline Cost]]="",Tasks[[#This Row],[_LeafTotalCost]],N(Tasks[[#This Row],[Baseline Cost]])))</f>
        <v>0</v>
      </c>
      <c r="EH28" s="41" t="n">
        <f aca="false">Tasks[[#This Row],[_LeafBudget]]*Tasks[[#This Row],[_PlannedPct]]</f>
        <v>0</v>
      </c>
      <c r="EI28" s="41" t="n">
        <f aca="false">Tasks[[#This Row],[_LeafBudget]]*Tasks[[#This Row],[_LeafProgress]]</f>
        <v>0</v>
      </c>
      <c r="EJ28" s="41" t="n">
        <f aca="false">IF(NOT(Tasks[[#This Row],[_IsLeaf]]=1),0,IF(Tasks[[#This Row],[Actual Cost]]="",Tasks[[#This Row],[_LeafTotalCost]]*Tasks[[#This Row],[_LeafProgress]],N(Tasks[[#This Row],[Actual Cost]])))</f>
        <v>0</v>
      </c>
      <c r="EK28" s="41" t="str">
        <f aca="false">IF(Tasks[[#This Row],[Task Name]]="","",LEFT(Tasks[[#This Row],[WBS]],FIND(".",Tasks[[#This Row],[WBS]]&amp;".")-1))</f>
        <v/>
      </c>
      <c r="EL28" s="41" t="str">
        <f aca="false">IF(AND(Tasks[[#This Row],[Task Name]]&lt;&gt;"",Tasks[[#This Row],[_Level]]=1),Tasks[[#This Row],[_Row]],"")</f>
        <v/>
      </c>
      <c r="EM28" s="41" t="str">
        <f aca="false">IF(AND(Tasks[[#This Row],[_IsLeaf]]=1,N(Tasks[[#This Row],[Duration]])=0),Tasks[[#This Row],[Planned Finish]]+Tasks[[#This Row],[_Row]]/100000,"")</f>
        <v/>
      </c>
      <c r="EN28" s="41" t="str">
        <f aca="false">IF(AND(Tasks[[#This Row],[_IsLeaf]]=1,Tasks[[#This Row],[_LeafProgress]]&lt;1,OR(N(Tasks[[#This Row],[Finish Var]])&gt;0,Tasks[[#This Row],[Status]]="Late Start")),MAX(0,Tasks[[#This Row],[Finish Var]])+1-Tasks[[#This Row],[_Row]]/1000000,"")</f>
        <v/>
      </c>
      <c r="EO28" s="41" t="str">
        <f aca="false">IF(AND(Tasks[[#This Row],[_IsLeaf]]=1,N(Tasks[[#This Row],[Actual Start]])=0,Tasks[[#This Row],[_ShownFcstStart]]&gt;=StatusDate,Tasks[[#This Row],[_ShownFcstStart]]&lt;=LookaheadEnd),Tasks[[#This Row],[_ShownFcstStart]]+Tasks[[#This Row],[_Row]]/100000,"")</f>
        <v/>
      </c>
      <c r="EP28" s="41" t="str">
        <f aca="false">IF(AND(Tasks[[#This Row],[_IsLeaf]]=1,Tasks[[#This Row],[_LeafProgress]]&lt;1,Tasks[[#This Row],[_ShownFcstFinish]]&gt;=StatusDate,Tasks[[#This Row],[_ShownFcstFinish]]&lt;=LookaheadEnd),Tasks[[#This Row],[_ShownFcstFinish]]+Tasks[[#This Row],[_Row]]/100000,"")</f>
        <v/>
      </c>
      <c r="EQ28" s="41" t="str">
        <f aca="false">IF(Tasks[[#This Row],[_LeafCritical]],Tasks[[#This Row],[_ShownFcstStart]]+Tasks[[#This Row],[_Row]]/100000,"")</f>
        <v/>
      </c>
      <c r="ER28" s="41" t="n">
        <f aca="false">Tasks[[#This Row],[_LeafWork]]*Tasks[[#This Row],[_LeafProgress]]</f>
        <v>0</v>
      </c>
      <c r="ES28" s="101" t="str">
        <f aca="false">IF(AND(Tasks[[#This Row],[_IsLeaf]]=1,Tasks[[#This Row],[_LeafProgress]]&gt;=1),IF(N(Tasks[[#This Row],[Actual Finish]])&gt;0,Tasks[[#This Row],[Actual Finish]],Tasks[[#This Row],[_ShownFcstFinish]]),"")</f>
        <v/>
      </c>
      <c r="ET28" s="41" t="n">
        <f aca="false">IF(Tasks[[#This Row],[_IsLeaf]]=1,N(Tasks[[#This Row],[Story Points]]),0)</f>
        <v>0</v>
      </c>
      <c r="EU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29"/>
      <c r="O29" s="29"/>
      <c r="P29" s="29"/>
      <c r="Q29" s="29"/>
      <c r="R29" s="29"/>
      <c r="S29" s="29"/>
      <c r="T29" s="30"/>
      <c r="U29" s="75"/>
      <c r="V29" s="75"/>
      <c r="W29" s="25" t="str">
        <f aca="false">IF(Tasks[[#This Row],[Task Name]]="","",IF(N(Tasks[[#This Row],[Baseline Start]])&gt;0,Tasks[[#This Row],[Baseline Start]],Tasks[[#This Row],[_CalcStart]]))</f>
        <v/>
      </c>
      <c r="X29" s="25" t="str">
        <f aca="false">IF(Tasks[[#This Row],[Task Name]]="","",IF(N(Tasks[[#This Row],[Baseline Finish]])&gt;0,Tasks[[#This Row],[Baseline Finish]],Tasks[[#This Row],[_CalcFinish]]))</f>
        <v/>
      </c>
      <c r="Y29" s="75"/>
      <c r="Z29" s="75"/>
      <c r="AA29" s="25" t="str">
        <f aca="false">IF(Tasks[[#This Row],[Task Name]]="","",IF(Tasks[[#This Row],[_IsSummary]],MIN(INDEX(Tasks[_ShownFcstStart],Tasks[[#This Row],[_Row]]+1):INDEX(Tasks[_ShownFcstStart],Tasks[[#This Row],[_Row]]+Tasks[[#This Row],[_Descendants]])),Tasks[[#This Row],[_ShownFcstStart]]))</f>
        <v/>
      </c>
      <c r="AB29" s="25" t="str">
        <f aca="false">IF(Tasks[[#This Row],[Task Name]]="","",IF(Tasks[[#This Row],[_IsSummary]],MAX(INDEX(Tasks[_ShownFcstFinish],Tasks[[#This Row],[_Row]]+1):INDEX(Tasks[_ShownFcstFinish],Tasks[[#This Row],[_Row]]+Tasks[[#This Row],[_Descendants]])),Tasks[[#This Row],[_ShownFcstFinish]]))</f>
        <v/>
      </c>
      <c r="AC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9" s="25" t="str">
        <f aca="false">IF(Tasks[[#This Row],[Task Name]]="","",IF(Tasks[[#This Row],[_IsSummary]],MIN(INDEX(Tasks[_LeafLateStart],Tasks[[#This Row],[_Row]]+1):INDEX(Tasks[_LeafLateStart],Tasks[[#This Row],[_Row]]+Tasks[[#This Row],[_Descendants]])),Tasks[[#This Row],[_LeafLateStart]]))</f>
        <v/>
      </c>
      <c r="AF29" s="25" t="str">
        <f aca="false">IF(Tasks[[#This Row],[Task Name]]="","",IF(Tasks[[#This Row],[_IsSummary]],MAX(INDEX(Tasks[_LeafLateFinish],Tasks[[#This Row],[_Row]]+1):INDEX(Tasks[_LeafLateFinish],Tasks[[#This Row],[_Row]]+Tasks[[#This Row],[_Descendants]])),Tasks[[#This Row],[_LeafLateFinish]]))</f>
        <v/>
      </c>
      <c r="AG29" s="28" t="str">
        <f aca="false">IF(Tasks[[#This Row],[Task Name]]="","",IF(Tasks[[#This Row],[_IsSummary]],MIN(INDEX(Tasks[_LeafTotalSlack],Tasks[[#This Row],[_Row]]+1):INDEX(Tasks[_LeafTotalSlack],Tasks[[#This Row],[_Row]]+Tasks[[#This Row],[_Descendants]])),Tasks[[#This Row],[_LeafTotalSlack]]))</f>
        <v/>
      </c>
      <c r="AH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9" s="28" t="str">
        <f aca="false">IF(Tasks[[#This Row],[Task Name]]="","",IF(IF(Tasks[[#This Row],[_IsSummary]],COUNTIF(INDEX(Tasks[_LeafCritical],Tasks[[#This Row],[_Row]]+1):INDEX(Tasks[_LeafCritical],Tasks[[#This Row],[_Row]]+Tasks[[#This Row],[_Descendants]]),TRUE())&gt;0,Tasks[[#This Row],[_LeafCritical]]),"Yes",""))</f>
        <v/>
      </c>
      <c r="AJ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9" s="89"/>
      <c r="AM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9" s="28" t="str">
        <f aca="false">IF(Tasks[[#This Row],[Task Name]]="","",IF(Tasks[[#This Row],[Progress]]&gt;=1,"Complete",IF(OR(N(Tasks[[#This Row],[Actual Start]])&gt;0,Tasks[[#This Row],[Progress]]&gt;0),IF(Tasks[[#This Row],[Finish Var]]&gt;0,"Behind","In Progress"),IF(Tasks[[#This Row],[Planned Start]]&lt;StatusDate,"Late Start","Not Started"))))</f>
        <v/>
      </c>
      <c r="AO29" s="30"/>
      <c r="AP29" s="89"/>
      <c r="AQ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9" s="96" t="str">
        <f aca="false">IF(Tasks[[#This Row],[Task Name]]="","",IF(Tasks[[#This Row],[_IsSummary]],SUM(INDEX(Tasks[_LeafTotalWork],Tasks[[#This Row],[_Row]]+1):INDEX(Tasks[_LeafTotalWork],Tasks[[#This Row],[_Row]]+Tasks[[#This Row],[_Descendants]])),Tasks[[#This Row],[_LeafTotalWork]]))</f>
        <v/>
      </c>
      <c r="AT29" s="97" t="str">
        <f aca="false">IF(Tasks[[#This Row],[Task Name]]="","",IF(Tasks[[#This Row],[_IsSummary]],SUM(INDEX(Tasks[_LeafTotalCost],Tasks[[#This Row],[_Row]]+1):INDEX(Tasks[_LeafTotalCost],Tasks[[#This Row],[_Row]]+Tasks[[#This Row],[_Descendants]])),Tasks[[#This Row],[_LeafTotalCost]]))</f>
        <v/>
      </c>
      <c r="AU29" s="98"/>
      <c r="AV29" s="29"/>
      <c r="AW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9" s="83"/>
      <c r="AY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9" s="30"/>
      <c r="BA29" s="25" t="str">
        <f aca="false">IF(Tasks[[#This Row],[Task Name]]="","",Tasks[[#This Row],[Forecast Start]])</f>
        <v/>
      </c>
      <c r="BB29" s="25" t="str">
        <f aca="false">IF(Tasks[[#This Row],[Task Name]]="","",Tasks[[#This Row],[Forecast Finish]])</f>
        <v/>
      </c>
      <c r="BC29" s="28" t="str">
        <f aca="false">IF(Tasks[[#This Row],[Task Name]]="","",IF(Tasks[[#This Row],[_IsSummary]],NETWORKDAYS.INTL(Tasks[[#This Row],[Forecast Start]],Tasks[[#This Row],[Forecast Finish]],WorkWeek,Holidays),N(Tasks[[#This Row],[Duration]])))</f>
        <v/>
      </c>
      <c r="BD29" s="96" t="str">
        <f aca="false">IF(Tasks[[#This Row],[Task Name]]="","",Tasks[[#This Row],[Work]])</f>
        <v/>
      </c>
      <c r="BE29" s="97" t="str">
        <f aca="false">IF(Tasks[[#This Row],[Task Name]]="","",Tasks[[#This Row],[Cost]])</f>
        <v/>
      </c>
      <c r="BF29" s="75"/>
      <c r="BG29" s="75"/>
      <c r="BH29" s="29"/>
      <c r="BI29" s="99"/>
      <c r="BJ29" s="98"/>
      <c r="BK29" s="28" t="str">
        <f aca="false">IF(OR(Tasks[[#This Row],[Task Name]]="",Tasks[[#This Row],[Baseline Duration]]=""),"",Tasks[[#This Row],[BL Source Duration]]-N(Tasks[[#This Row],[Baseline Duration]]))</f>
        <v/>
      </c>
      <c r="BL29" s="96" t="str">
        <f aca="false">IF(OR(Tasks[[#This Row],[Task Name]]="",Tasks[[#This Row],[Baseline Work]]=""),"",Tasks[[#This Row],[Work]]-N(Tasks[[#This Row],[Baseline Work]]))</f>
        <v/>
      </c>
      <c r="BM29" s="97" t="str">
        <f aca="false">IF(OR(Tasks[[#This Row],[Task Name]]="",Tasks[[#This Row],[Baseline Cost]]=""),"",Tasks[[#This Row],[Cost]]-N(Tasks[[#This Row],[Baseline Cost]]))</f>
        <v/>
      </c>
      <c r="BN29" s="97" t="str">
        <f aca="false">IF(Tasks[[#This Row],[Task Name]]="","",IF(Tasks[[#This Row],[_IsSummary]],SUM(INDEX(Tasks[_LeafBudget],Tasks[[#This Row],[_Row]]+1):INDEX(Tasks[_LeafBudget],Tasks[[#This Row],[_Row]]+Tasks[[#This Row],[_Descendants]])),Tasks[[#This Row],[_LeafBudget]]))</f>
        <v/>
      </c>
      <c r="BO29" s="97" t="str">
        <f aca="false">IF(Tasks[[#This Row],[Task Name]]="","",IF(Tasks[[#This Row],[_IsSummary]],SUM(INDEX(Tasks[_LeafPV],Tasks[[#This Row],[_Row]]+1):INDEX(Tasks[_LeafPV],Tasks[[#This Row],[_Row]]+Tasks[[#This Row],[_Descendants]])),Tasks[[#This Row],[_LeafPV]]))</f>
        <v/>
      </c>
      <c r="BP29" s="97" t="str">
        <f aca="false">IF(Tasks[[#This Row],[Task Name]]="","",IF(Tasks[[#This Row],[_IsSummary]],SUM(INDEX(Tasks[_LeafEV],Tasks[[#This Row],[_Row]]+1):INDEX(Tasks[_LeafEV],Tasks[[#This Row],[_Row]]+Tasks[[#This Row],[_Descendants]])),Tasks[[#This Row],[_LeafEV]]))</f>
        <v/>
      </c>
      <c r="BQ29" s="97" t="str">
        <f aca="false">IF(Tasks[[#This Row],[Task Name]]="","",IF(Tasks[[#This Row],[_IsSummary]],SUM(INDEX(Tasks[_LeafAC],Tasks[[#This Row],[_Row]]+1):INDEX(Tasks[_LeafAC],Tasks[[#This Row],[_Row]]+Tasks[[#This Row],[_Descendants]])),Tasks[[#This Row],[_LeafAC]]))</f>
        <v/>
      </c>
      <c r="BR29" s="41" t="str">
        <f aca="false">IF(Tasks[[#This Row],[Task Name]]="","",MAX(1,N(Tasks[[#This Row],[Level]])))</f>
        <v/>
      </c>
      <c r="BS29" s="41" t="n">
        <f aca="false">ROW()-ROW(Tasks[[#Headers],[ID]])</f>
        <v>24</v>
      </c>
      <c r="BT29" s="41" t="n">
        <f aca="false">IF(OR(Tasks[[#This Row],[Task Name]]="",Tasks[[#This Row],[_Level]]&lt;=1),0,IFERROR(LOOKUP(2,1/(Tasks[[#Headers],[_Level]]:Tasks[[#This Row],[_Level]]=Tasks[[#This Row],[_Level]]-1),ROW(Tasks[[#Headers],[_Level]]:Tasks[[#This Row],[_Level]])),0))</f>
        <v>0</v>
      </c>
      <c r="BU29" s="41" t="n">
        <f aca="false">IFERROR(N(INDEX(Tasks[_Level],Tasks[[#This Row],[_Row]]+1)),0)</f>
        <v>0</v>
      </c>
      <c r="BV29" s="100" t="b">
        <f aca="false">AND(Tasks[[#This Row],[Task Name]]&lt;&gt;"",Tasks[[#This Row],[_NextLevel]]&gt;Tasks[[#This Row],[_Level]])</f>
        <v>0</v>
      </c>
      <c r="BW29" s="41" t="n">
        <f aca="false">IF(Tasks[[#This Row],[_IsSummary]],COUNTIF(Tasks[WBS],Tasks[[#This Row],[WBS]]&amp;".*"),0)</f>
        <v>0</v>
      </c>
      <c r="BX29" s="41" t="n">
        <f aca="false">IF(AND(Tasks[[#This Row],[Task Name]]&lt;&gt;"",NOT(Tasks[[#This Row],[_IsSummary]])),1,0)</f>
        <v>0</v>
      </c>
      <c r="BY29" s="41" t="n">
        <f aca="false">IF(N(Tasks[[#This Row],[Pred1 UID]])=0,0,IFERROR(MATCH(Tasks[[#This Row],[Pred1 UID]],Tasks[UID],0),-1))</f>
        <v>0</v>
      </c>
      <c r="BZ29" s="41" t="n">
        <f aca="false">IF(N(Tasks[[#This Row],[Pred2 UID]])=0,0,IFERROR(MATCH(Tasks[[#This Row],[Pred2 UID]],Tasks[UID],0),-1))</f>
        <v>0</v>
      </c>
      <c r="CA29" s="41" t="n">
        <f aca="false">IF(N(Tasks[[#This Row],[Pred3 UID]])=0,0,IFERROR(MATCH(Tasks[[#This Row],[Pred3 UID]],Tasks[UID],0),-1))</f>
        <v>0</v>
      </c>
      <c r="CB29" s="41" t="n">
        <f aca="false">IF(N(Tasks[[#This Row],[Pred4 UID]])=0,0,IFERROR(MATCH(Tasks[[#This Row],[Pred4 UID]],Tasks[UID],0),-1))</f>
        <v>0</v>
      </c>
      <c r="CC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9" s="101" t="n">
        <f aca="false">IF(OR(Tasks[[#This Row],[_ConstraintCode]]=2,Tasks[[#This Row],[_ConstraintCode]]=3,Tasks[[#This Row],[_ConstraintCode]]=4,Tasks[[#This Row],[_ConstraintCode]]=6),Tasks[[#This Row],[_ConstraintStart]],0)</f>
        <v>0</v>
      </c>
      <c r="CF29" s="101" t="n">
        <f aca="false">IF(OR(Tasks[[#This Row],[_ConstraintCode]]=2,Tasks[[#This Row],[_ConstraintCode]]=3,Tasks[[#This Row],[_ConstraintCode]]=5,Tasks[[#This Row],[_ConstraintCode]]=7),Tasks[[#This Row],[_ConstraintStart]],2958465)</f>
        <v>2958465</v>
      </c>
      <c r="CG2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9" s="101" t="str">
        <f aca="false">IF(NOT(Tasks[[#This Row],[_IsLeaf]]=1),"",IF(N(Tasks[[#This Row],[Duration]])&lt;=0,Tasks[[#This Row],[_LeafCalcStart]],WORKDAY.INTL(Tasks[[#This Row],[_LeafCalcStart]],Tasks[[#This Row],[Duration]]-1,WorkWeek,Holidays)))</f>
        <v/>
      </c>
      <c r="CI2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9" s="41" t="n">
        <f aca="false">IF(NOT(Tasks[[#This Row],[_IsLeaf]]=1),0,IF(N(Tasks[[#This Row],[Actual Finish]])&gt;0,1,MIN(1,N(Tasks[[#This Row],[% Complete]]))))</f>
        <v>0</v>
      </c>
      <c r="CL29" s="41" t="n">
        <f aca="false">IF(OR(NOT(Tasks[[#This Row],[_IsLeaf]]=1),Tasks[[#This Row],[Resource]]=""),0,N(Tasks[[#This Row],[Duration]])*HoursPerDay*IF(Tasks[[#This Row],[Units]]="",DefaultUnits,Tasks[[#This Row],[Units]]))</f>
        <v>0</v>
      </c>
      <c r="CM29" s="41" t="n">
        <f aca="false">IF(Tasks[[#This Row],[_LeafWork]]=0,0,Tasks[[#This Row],[_LeafWork]]*IFERROR(INDEX(res_Rate,MATCH(Tasks[[#This Row],[Resource]],res_Name,0)),0))</f>
        <v>0</v>
      </c>
      <c r="CN29" s="41" t="n">
        <f aca="false">Tasks[[#This Row],[_LeafWork]]+IF(Tasks[[#This Row],[_IsLeaf]]=1,SUMIFS(asg_Work,asg_TaskUID,Tasks[[#This Row],[UID]],asg_Valid,1),0)</f>
        <v>0</v>
      </c>
      <c r="CO29" s="41" t="n">
        <f aca="false">Tasks[[#This Row],[_LeafCost]]+IF(Tasks[[#This Row],[_IsLeaf]]=1,SUMIFS(asg_Cost,asg_TaskUID,Tasks[[#This Row],[UID]],asg_Valid,1),0)</f>
        <v>0</v>
      </c>
      <c r="CP29" s="41" t="n">
        <f aca="false">IF(Tasks[[#This Row],[_LeafTotalCost]]=0,Tasks[[#This Row],[_LeafAC]],Tasks[[#This Row],[_LeafAC]]*Tasks[[#This Row],[_LeafCost]]/Tasks[[#This Row],[_LeafTotalCost]])</f>
        <v>0</v>
      </c>
      <c r="CQ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9" s="41" t="n">
        <f aca="false">IF(NOT(Tasks[[#This Row],[_IsLeaf]]=1),0,MAX(_xlfn.MAXIFS(Tasks[_Row],Tasks[Pred1 UID],Tasks[[#This Row],[UID]]),_xlfn.MAXIFS(Tasks[_Row],Tasks[Pred2 UID],Tasks[[#This Row],[UID]]),_xlfn.MAXIFS(Tasks[_Row],Tasks[Pred3 UID],Tasks[[#This Row],[UID]]),_xlfn.MAXIFS(Tasks[_Row],Tasks[Pred4 UID],Tasks[[#This Row],[UID]])))</f>
        <v>0</v>
      </c>
      <c r="CZ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9" s="101" t="str">
        <f aca="false">IF(NOT(Tasks[[#This Row],[_IsLeaf]]=1),"",IF(N(Tasks[[#This Row],[Duration]])&lt;=0,Tasks[[#This Row],[_LeafLateFinish]],WORKDAY.INTL(Tasks[[#This Row],[_LeafLateFinish]],-(Tasks[[#This Row],[Duration]]-1),WorkWeek,Holidays)))</f>
        <v/>
      </c>
      <c r="DC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9" s="100" t="b">
        <f aca="false">AND(Tasks[[#This Row],[_IsLeaf]]=1,Tasks[[#This Row],[_LeafProgress]]&lt;1,N(Tasks[[#This Row],[_LeafTotalSlack]])&lt;=CriticalSlackDays)</f>
        <v>0</v>
      </c>
      <c r="DE29" s="41" t="n">
        <f aca="false">IF(AND(Tasks[[#This Row],[_IsLeaf]]=1,Tasks[[#This Row],[_ConstraintCode]]=1,Tasks[[#This Row],[Mode]]&lt;&gt;"Manual",N(Tasks[[#This Row],[Actual Start]])=0),MAX(0,N(Tasks[[#This Row],[Free Slack]])),0)</f>
        <v>0</v>
      </c>
      <c r="DF29" s="101" t="str">
        <f aca="false">IF(NOT(Tasks[[#This Row],[_IsLeaf]]=1),"",IF(Tasks[[#This Row],[_AlapShift]]=0,Tasks[[#This Row],[_LeafCalcStart]],WORKDAY.INTL(Tasks[[#This Row],[_LeafCalcStart]],Tasks[[#This Row],[_AlapShift]],WorkWeek,Holidays)))</f>
        <v/>
      </c>
      <c r="DG29" s="101" t="str">
        <f aca="false">IF(NOT(Tasks[[#This Row],[_IsLeaf]]=1),"",IF(Tasks[[#This Row],[_AlapShift]]=0,Tasks[[#This Row],[_LeafCalcFinish]],WORKDAY.INTL(Tasks[[#This Row],[_LeafCalcFinish]],Tasks[[#This Row],[_AlapShift]],WorkWeek,Holidays)))</f>
        <v/>
      </c>
      <c r="DH29" s="101" t="str">
        <f aca="false">IF(NOT(Tasks[[#This Row],[_IsLeaf]]=1),"",IF(Tasks[[#This Row],[_AlapShift]]=0,Tasks[[#This Row],[_LeafFcstStart]],WORKDAY.INTL(Tasks[[#This Row],[_LeafFcstStart]],Tasks[[#This Row],[_AlapShift]],WorkWeek,Holidays)))</f>
        <v/>
      </c>
      <c r="DI29" s="101" t="str">
        <f aca="false">IF(NOT(Tasks[[#This Row],[_IsLeaf]]=1),"",IF(Tasks[[#This Row],[_AlapShift]]=0,Tasks[[#This Row],[_LeafFcstFinish]],WORKDAY.INTL(Tasks[[#This Row],[_LeafFcstFinish]],Tasks[[#This Row],[_AlapShift]],WorkWeek,Holidays)))</f>
        <v/>
      </c>
      <c r="DJ29" s="101" t="str">
        <f aca="false">IF(Tasks[[#This Row],[Task Name]]="","",IF(Tasks[[#This Row],[_IsSummary]],MIN(INDEX(Tasks[_ShownCalcStart],Tasks[[#This Row],[_Row]]+1):INDEX(Tasks[_ShownCalcStart],Tasks[[#This Row],[_Row]]+Tasks[[#This Row],[_Descendants]])),Tasks[[#This Row],[_ShownCalcStart]]))</f>
        <v/>
      </c>
      <c r="DK29" s="101" t="str">
        <f aca="false">IF(Tasks[[#This Row],[Task Name]]="","",IF(Tasks[[#This Row],[_IsSummary]],MAX(INDEX(Tasks[_ShownCalcFinish],Tasks[[#This Row],[_Row]]+1):INDEX(Tasks[_ShownCalcFinish],Tasks[[#This Row],[_Row]]+Tasks[[#This Row],[_Descendants]])),Tasks[[#This Row],[_ShownCalcFinish]]))</f>
        <v/>
      </c>
      <c r="D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9" s="41" t="n">
        <f aca="false">IF(AND(Tasks[[#This Row],[_IsLeaf]]=1,Tasks[[#This Row],[_LeafTotalWork]]&gt;0),NETWORKDAYS.INTL(ProjectStart,Tasks[[#This Row],[_ShownFcstStart]],WorkWeek,Holidays),0)</f>
        <v>0</v>
      </c>
      <c r="DY29" s="41" t="n">
        <f aca="false">IF(AND(Tasks[[#This Row],[_IsLeaf]]=1,Tasks[[#This Row],[_LeafTotalWork]]&gt;0),MAX(Tasks[[#This Row],[_StartWorkday]],NETWORKDAYS.INTL(ProjectStart,Tasks[[#This Row],[_ShownFcstFinish]],WorkWeek,Holidays)),0)</f>
        <v>0</v>
      </c>
      <c r="DZ29" s="41" t="n">
        <f aca="false">IF(AND(Tasks[[#This Row],[_IsLeaf]]=1,Tasks[[#This Row],[_LeafTotalWork]]&gt;0),Tasks[[#This Row],[_LeafWork]]/(Tasks[[#This Row],[_FinishWorkday]]-Tasks[[#This Row],[_StartWorkday]]+1),0)</f>
        <v>0</v>
      </c>
      <c r="EA29" s="41" t="n">
        <f aca="false">Tasks[[#This Row],[_WorkPerWorkday]]*(Tasks[[#This Row],[_StartWorkday]]-1)</f>
        <v>-0</v>
      </c>
      <c r="EB29" s="41" t="n">
        <f aca="false">IF(Tasks[[#This Row],[_IsLeaf]]=1,MAX(N(Tasks[[#This Row],[Duration]]),0.1),0)</f>
        <v>0</v>
      </c>
      <c r="EC29" s="41" t="n">
        <f aca="false">Tasks[[#This Row],[_WeightDur]]*Tasks[[#This Row],[_LeafProgress]]</f>
        <v>0</v>
      </c>
      <c r="ED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9" s="41" t="str">
        <f aca="false">IF(AND(Tasks[[#This Row],[_IsLeaf]]=1,N(Tasks[[#This Row],[Duration]])=0,Tasks[[#This Row],[_LeafProgress]]&lt;1),Tasks[[#This Row],[_ShownFcstFinish]]+Tasks[[#This Row],[_Row]]/100000,"")</f>
        <v/>
      </c>
      <c r="EF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9" s="41" t="n">
        <f aca="false">IF(NOT(Tasks[[#This Row],[_IsLeaf]]=1),0,IF(Tasks[[#This Row],[Baseline Cost]]="",Tasks[[#This Row],[_LeafTotalCost]],N(Tasks[[#This Row],[Baseline Cost]])))</f>
        <v>0</v>
      </c>
      <c r="EH29" s="41" t="n">
        <f aca="false">Tasks[[#This Row],[_LeafBudget]]*Tasks[[#This Row],[_PlannedPct]]</f>
        <v>0</v>
      </c>
      <c r="EI29" s="41" t="n">
        <f aca="false">Tasks[[#This Row],[_LeafBudget]]*Tasks[[#This Row],[_LeafProgress]]</f>
        <v>0</v>
      </c>
      <c r="EJ29" s="41" t="n">
        <f aca="false">IF(NOT(Tasks[[#This Row],[_IsLeaf]]=1),0,IF(Tasks[[#This Row],[Actual Cost]]="",Tasks[[#This Row],[_LeafTotalCost]]*Tasks[[#This Row],[_LeafProgress]],N(Tasks[[#This Row],[Actual Cost]])))</f>
        <v>0</v>
      </c>
      <c r="EK29" s="41" t="str">
        <f aca="false">IF(Tasks[[#This Row],[Task Name]]="","",LEFT(Tasks[[#This Row],[WBS]],FIND(".",Tasks[[#This Row],[WBS]]&amp;".")-1))</f>
        <v/>
      </c>
      <c r="EL29" s="41" t="str">
        <f aca="false">IF(AND(Tasks[[#This Row],[Task Name]]&lt;&gt;"",Tasks[[#This Row],[_Level]]=1),Tasks[[#This Row],[_Row]],"")</f>
        <v/>
      </c>
      <c r="EM29" s="41" t="str">
        <f aca="false">IF(AND(Tasks[[#This Row],[_IsLeaf]]=1,N(Tasks[[#This Row],[Duration]])=0),Tasks[[#This Row],[Planned Finish]]+Tasks[[#This Row],[_Row]]/100000,"")</f>
        <v/>
      </c>
      <c r="EN29" s="41" t="str">
        <f aca="false">IF(AND(Tasks[[#This Row],[_IsLeaf]]=1,Tasks[[#This Row],[_LeafProgress]]&lt;1,OR(N(Tasks[[#This Row],[Finish Var]])&gt;0,Tasks[[#This Row],[Status]]="Late Start")),MAX(0,Tasks[[#This Row],[Finish Var]])+1-Tasks[[#This Row],[_Row]]/1000000,"")</f>
        <v/>
      </c>
      <c r="EO29" s="41" t="str">
        <f aca="false">IF(AND(Tasks[[#This Row],[_IsLeaf]]=1,N(Tasks[[#This Row],[Actual Start]])=0,Tasks[[#This Row],[_ShownFcstStart]]&gt;=StatusDate,Tasks[[#This Row],[_ShownFcstStart]]&lt;=LookaheadEnd),Tasks[[#This Row],[_ShownFcstStart]]+Tasks[[#This Row],[_Row]]/100000,"")</f>
        <v/>
      </c>
      <c r="EP29" s="41" t="str">
        <f aca="false">IF(AND(Tasks[[#This Row],[_IsLeaf]]=1,Tasks[[#This Row],[_LeafProgress]]&lt;1,Tasks[[#This Row],[_ShownFcstFinish]]&gt;=StatusDate,Tasks[[#This Row],[_ShownFcstFinish]]&lt;=LookaheadEnd),Tasks[[#This Row],[_ShownFcstFinish]]+Tasks[[#This Row],[_Row]]/100000,"")</f>
        <v/>
      </c>
      <c r="EQ29" s="41" t="str">
        <f aca="false">IF(Tasks[[#This Row],[_LeafCritical]],Tasks[[#This Row],[_ShownFcstStart]]+Tasks[[#This Row],[_Row]]/100000,"")</f>
        <v/>
      </c>
      <c r="ER29" s="41" t="n">
        <f aca="false">Tasks[[#This Row],[_LeafWork]]*Tasks[[#This Row],[_LeafProgress]]</f>
        <v>0</v>
      </c>
      <c r="ES29" s="101" t="str">
        <f aca="false">IF(AND(Tasks[[#This Row],[_IsLeaf]]=1,Tasks[[#This Row],[_LeafProgress]]&gt;=1),IF(N(Tasks[[#This Row],[Actual Finish]])&gt;0,Tasks[[#This Row],[Actual Finish]],Tasks[[#This Row],[_ShownFcstFinish]]),"")</f>
        <v/>
      </c>
      <c r="ET29" s="41" t="n">
        <f aca="false">IF(Tasks[[#This Row],[_IsLeaf]]=1,N(Tasks[[#This Row],[Story Points]]),0)</f>
        <v>0</v>
      </c>
      <c r="EU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29"/>
      <c r="O30" s="29"/>
      <c r="P30" s="29"/>
      <c r="Q30" s="29"/>
      <c r="R30" s="29"/>
      <c r="S30" s="29"/>
      <c r="T30" s="30"/>
      <c r="U30" s="75"/>
      <c r="V30" s="75"/>
      <c r="W30" s="25" t="str">
        <f aca="false">IF(Tasks[[#This Row],[Task Name]]="","",IF(N(Tasks[[#This Row],[Baseline Start]])&gt;0,Tasks[[#This Row],[Baseline Start]],Tasks[[#This Row],[_CalcStart]]))</f>
        <v/>
      </c>
      <c r="X30" s="25" t="str">
        <f aca="false">IF(Tasks[[#This Row],[Task Name]]="","",IF(N(Tasks[[#This Row],[Baseline Finish]])&gt;0,Tasks[[#This Row],[Baseline Finish]],Tasks[[#This Row],[_CalcFinish]]))</f>
        <v/>
      </c>
      <c r="Y30" s="75"/>
      <c r="Z30" s="75"/>
      <c r="AA30" s="25" t="str">
        <f aca="false">IF(Tasks[[#This Row],[Task Name]]="","",IF(Tasks[[#This Row],[_IsSummary]],MIN(INDEX(Tasks[_ShownFcstStart],Tasks[[#This Row],[_Row]]+1):INDEX(Tasks[_ShownFcstStart],Tasks[[#This Row],[_Row]]+Tasks[[#This Row],[_Descendants]])),Tasks[[#This Row],[_ShownFcstStart]]))</f>
        <v/>
      </c>
      <c r="AB30" s="25" t="str">
        <f aca="false">IF(Tasks[[#This Row],[Task Name]]="","",IF(Tasks[[#This Row],[_IsSummary]],MAX(INDEX(Tasks[_ShownFcstFinish],Tasks[[#This Row],[_Row]]+1):INDEX(Tasks[_ShownFcstFinish],Tasks[[#This Row],[_Row]]+Tasks[[#This Row],[_Descendants]])),Tasks[[#This Row],[_ShownFcstFinish]]))</f>
        <v/>
      </c>
      <c r="AC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0" s="25" t="str">
        <f aca="false">IF(Tasks[[#This Row],[Task Name]]="","",IF(Tasks[[#This Row],[_IsSummary]],MIN(INDEX(Tasks[_LeafLateStart],Tasks[[#This Row],[_Row]]+1):INDEX(Tasks[_LeafLateStart],Tasks[[#This Row],[_Row]]+Tasks[[#This Row],[_Descendants]])),Tasks[[#This Row],[_LeafLateStart]]))</f>
        <v/>
      </c>
      <c r="AF30" s="25" t="str">
        <f aca="false">IF(Tasks[[#This Row],[Task Name]]="","",IF(Tasks[[#This Row],[_IsSummary]],MAX(INDEX(Tasks[_LeafLateFinish],Tasks[[#This Row],[_Row]]+1):INDEX(Tasks[_LeafLateFinish],Tasks[[#This Row],[_Row]]+Tasks[[#This Row],[_Descendants]])),Tasks[[#This Row],[_LeafLateFinish]]))</f>
        <v/>
      </c>
      <c r="AG30" s="28" t="str">
        <f aca="false">IF(Tasks[[#This Row],[Task Name]]="","",IF(Tasks[[#This Row],[_IsSummary]],MIN(INDEX(Tasks[_LeafTotalSlack],Tasks[[#This Row],[_Row]]+1):INDEX(Tasks[_LeafTotalSlack],Tasks[[#This Row],[_Row]]+Tasks[[#This Row],[_Descendants]])),Tasks[[#This Row],[_LeafTotalSlack]]))</f>
        <v/>
      </c>
      <c r="AH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0" s="28" t="str">
        <f aca="false">IF(Tasks[[#This Row],[Task Name]]="","",IF(IF(Tasks[[#This Row],[_IsSummary]],COUNTIF(INDEX(Tasks[_LeafCritical],Tasks[[#This Row],[_Row]]+1):INDEX(Tasks[_LeafCritical],Tasks[[#This Row],[_Row]]+Tasks[[#This Row],[_Descendants]]),TRUE())&gt;0,Tasks[[#This Row],[_LeafCritical]]),"Yes",""))</f>
        <v/>
      </c>
      <c r="AJ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0" s="89"/>
      <c r="AM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0" s="28" t="str">
        <f aca="false">IF(Tasks[[#This Row],[Task Name]]="","",IF(Tasks[[#This Row],[Progress]]&gt;=1,"Complete",IF(OR(N(Tasks[[#This Row],[Actual Start]])&gt;0,Tasks[[#This Row],[Progress]]&gt;0),IF(Tasks[[#This Row],[Finish Var]]&gt;0,"Behind","In Progress"),IF(Tasks[[#This Row],[Planned Start]]&lt;StatusDate,"Late Start","Not Started"))))</f>
        <v/>
      </c>
      <c r="AO30" s="30"/>
      <c r="AP30" s="89"/>
      <c r="AQ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0" s="96" t="str">
        <f aca="false">IF(Tasks[[#This Row],[Task Name]]="","",IF(Tasks[[#This Row],[_IsSummary]],SUM(INDEX(Tasks[_LeafTotalWork],Tasks[[#This Row],[_Row]]+1):INDEX(Tasks[_LeafTotalWork],Tasks[[#This Row],[_Row]]+Tasks[[#This Row],[_Descendants]])),Tasks[[#This Row],[_LeafTotalWork]]))</f>
        <v/>
      </c>
      <c r="AT30" s="97" t="str">
        <f aca="false">IF(Tasks[[#This Row],[Task Name]]="","",IF(Tasks[[#This Row],[_IsSummary]],SUM(INDEX(Tasks[_LeafTotalCost],Tasks[[#This Row],[_Row]]+1):INDEX(Tasks[_LeafTotalCost],Tasks[[#This Row],[_Row]]+Tasks[[#This Row],[_Descendants]])),Tasks[[#This Row],[_LeafTotalCost]]))</f>
        <v/>
      </c>
      <c r="AU30" s="98"/>
      <c r="AV30" s="29"/>
      <c r="AW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0" s="83"/>
      <c r="AY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0" s="30"/>
      <c r="BA30" s="25" t="str">
        <f aca="false">IF(Tasks[[#This Row],[Task Name]]="","",Tasks[[#This Row],[Forecast Start]])</f>
        <v/>
      </c>
      <c r="BB30" s="25" t="str">
        <f aca="false">IF(Tasks[[#This Row],[Task Name]]="","",Tasks[[#This Row],[Forecast Finish]])</f>
        <v/>
      </c>
      <c r="BC30" s="28" t="str">
        <f aca="false">IF(Tasks[[#This Row],[Task Name]]="","",IF(Tasks[[#This Row],[_IsSummary]],NETWORKDAYS.INTL(Tasks[[#This Row],[Forecast Start]],Tasks[[#This Row],[Forecast Finish]],WorkWeek,Holidays),N(Tasks[[#This Row],[Duration]])))</f>
        <v/>
      </c>
      <c r="BD30" s="96" t="str">
        <f aca="false">IF(Tasks[[#This Row],[Task Name]]="","",Tasks[[#This Row],[Work]])</f>
        <v/>
      </c>
      <c r="BE30" s="97" t="str">
        <f aca="false">IF(Tasks[[#This Row],[Task Name]]="","",Tasks[[#This Row],[Cost]])</f>
        <v/>
      </c>
      <c r="BF30" s="75"/>
      <c r="BG30" s="75"/>
      <c r="BH30" s="29"/>
      <c r="BI30" s="99"/>
      <c r="BJ30" s="98"/>
      <c r="BK30" s="28" t="str">
        <f aca="false">IF(OR(Tasks[[#This Row],[Task Name]]="",Tasks[[#This Row],[Baseline Duration]]=""),"",Tasks[[#This Row],[BL Source Duration]]-N(Tasks[[#This Row],[Baseline Duration]]))</f>
        <v/>
      </c>
      <c r="BL30" s="96" t="str">
        <f aca="false">IF(OR(Tasks[[#This Row],[Task Name]]="",Tasks[[#This Row],[Baseline Work]]=""),"",Tasks[[#This Row],[Work]]-N(Tasks[[#This Row],[Baseline Work]]))</f>
        <v/>
      </c>
      <c r="BM30" s="97" t="str">
        <f aca="false">IF(OR(Tasks[[#This Row],[Task Name]]="",Tasks[[#This Row],[Baseline Cost]]=""),"",Tasks[[#This Row],[Cost]]-N(Tasks[[#This Row],[Baseline Cost]]))</f>
        <v/>
      </c>
      <c r="BN30" s="97" t="str">
        <f aca="false">IF(Tasks[[#This Row],[Task Name]]="","",IF(Tasks[[#This Row],[_IsSummary]],SUM(INDEX(Tasks[_LeafBudget],Tasks[[#This Row],[_Row]]+1):INDEX(Tasks[_LeafBudget],Tasks[[#This Row],[_Row]]+Tasks[[#This Row],[_Descendants]])),Tasks[[#This Row],[_LeafBudget]]))</f>
        <v/>
      </c>
      <c r="BO30" s="97" t="str">
        <f aca="false">IF(Tasks[[#This Row],[Task Name]]="","",IF(Tasks[[#This Row],[_IsSummary]],SUM(INDEX(Tasks[_LeafPV],Tasks[[#This Row],[_Row]]+1):INDEX(Tasks[_LeafPV],Tasks[[#This Row],[_Row]]+Tasks[[#This Row],[_Descendants]])),Tasks[[#This Row],[_LeafPV]]))</f>
        <v/>
      </c>
      <c r="BP30" s="97" t="str">
        <f aca="false">IF(Tasks[[#This Row],[Task Name]]="","",IF(Tasks[[#This Row],[_IsSummary]],SUM(INDEX(Tasks[_LeafEV],Tasks[[#This Row],[_Row]]+1):INDEX(Tasks[_LeafEV],Tasks[[#This Row],[_Row]]+Tasks[[#This Row],[_Descendants]])),Tasks[[#This Row],[_LeafEV]]))</f>
        <v/>
      </c>
      <c r="BQ30" s="97" t="str">
        <f aca="false">IF(Tasks[[#This Row],[Task Name]]="","",IF(Tasks[[#This Row],[_IsSummary]],SUM(INDEX(Tasks[_LeafAC],Tasks[[#This Row],[_Row]]+1):INDEX(Tasks[_LeafAC],Tasks[[#This Row],[_Row]]+Tasks[[#This Row],[_Descendants]])),Tasks[[#This Row],[_LeafAC]]))</f>
        <v/>
      </c>
      <c r="BR30" s="41" t="str">
        <f aca="false">IF(Tasks[[#This Row],[Task Name]]="","",MAX(1,N(Tasks[[#This Row],[Level]])))</f>
        <v/>
      </c>
      <c r="BS30" s="41" t="n">
        <f aca="false">ROW()-ROW(Tasks[[#Headers],[ID]])</f>
        <v>25</v>
      </c>
      <c r="BT30" s="41" t="n">
        <f aca="false">IF(OR(Tasks[[#This Row],[Task Name]]="",Tasks[[#This Row],[_Level]]&lt;=1),0,IFERROR(LOOKUP(2,1/(Tasks[[#Headers],[_Level]]:Tasks[[#This Row],[_Level]]=Tasks[[#This Row],[_Level]]-1),ROW(Tasks[[#Headers],[_Level]]:Tasks[[#This Row],[_Level]])),0))</f>
        <v>0</v>
      </c>
      <c r="BU30" s="41" t="n">
        <f aca="false">IFERROR(N(INDEX(Tasks[_Level],Tasks[[#This Row],[_Row]]+1)),0)</f>
        <v>0</v>
      </c>
      <c r="BV30" s="100" t="b">
        <f aca="false">AND(Tasks[[#This Row],[Task Name]]&lt;&gt;"",Tasks[[#This Row],[_NextLevel]]&gt;Tasks[[#This Row],[_Level]])</f>
        <v>0</v>
      </c>
      <c r="BW30" s="41" t="n">
        <f aca="false">IF(Tasks[[#This Row],[_IsSummary]],COUNTIF(Tasks[WBS],Tasks[[#This Row],[WBS]]&amp;".*"),0)</f>
        <v>0</v>
      </c>
      <c r="BX30" s="41" t="n">
        <f aca="false">IF(AND(Tasks[[#This Row],[Task Name]]&lt;&gt;"",NOT(Tasks[[#This Row],[_IsSummary]])),1,0)</f>
        <v>0</v>
      </c>
      <c r="BY30" s="41" t="n">
        <f aca="false">IF(N(Tasks[[#This Row],[Pred1 UID]])=0,0,IFERROR(MATCH(Tasks[[#This Row],[Pred1 UID]],Tasks[UID],0),-1))</f>
        <v>0</v>
      </c>
      <c r="BZ30" s="41" t="n">
        <f aca="false">IF(N(Tasks[[#This Row],[Pred2 UID]])=0,0,IFERROR(MATCH(Tasks[[#This Row],[Pred2 UID]],Tasks[UID],0),-1))</f>
        <v>0</v>
      </c>
      <c r="CA30" s="41" t="n">
        <f aca="false">IF(N(Tasks[[#This Row],[Pred3 UID]])=0,0,IFERROR(MATCH(Tasks[[#This Row],[Pred3 UID]],Tasks[UID],0),-1))</f>
        <v>0</v>
      </c>
      <c r="CB30" s="41" t="n">
        <f aca="false">IF(N(Tasks[[#This Row],[Pred4 UID]])=0,0,IFERROR(MATCH(Tasks[[#This Row],[Pred4 UID]],Tasks[UID],0),-1))</f>
        <v>0</v>
      </c>
      <c r="CC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0" s="101" t="n">
        <f aca="false">IF(OR(Tasks[[#This Row],[_ConstraintCode]]=2,Tasks[[#This Row],[_ConstraintCode]]=3,Tasks[[#This Row],[_ConstraintCode]]=4,Tasks[[#This Row],[_ConstraintCode]]=6),Tasks[[#This Row],[_ConstraintStart]],0)</f>
        <v>0</v>
      </c>
      <c r="CF30" s="101" t="n">
        <f aca="false">IF(OR(Tasks[[#This Row],[_ConstraintCode]]=2,Tasks[[#This Row],[_ConstraintCode]]=3,Tasks[[#This Row],[_ConstraintCode]]=5,Tasks[[#This Row],[_ConstraintCode]]=7),Tasks[[#This Row],[_ConstraintStart]],2958465)</f>
        <v>2958465</v>
      </c>
      <c r="CG3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0" s="101" t="str">
        <f aca="false">IF(NOT(Tasks[[#This Row],[_IsLeaf]]=1),"",IF(N(Tasks[[#This Row],[Duration]])&lt;=0,Tasks[[#This Row],[_LeafCalcStart]],WORKDAY.INTL(Tasks[[#This Row],[_LeafCalcStart]],Tasks[[#This Row],[Duration]]-1,WorkWeek,Holidays)))</f>
        <v/>
      </c>
      <c r="CI3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0" s="41" t="n">
        <f aca="false">IF(NOT(Tasks[[#This Row],[_IsLeaf]]=1),0,IF(N(Tasks[[#This Row],[Actual Finish]])&gt;0,1,MIN(1,N(Tasks[[#This Row],[% Complete]]))))</f>
        <v>0</v>
      </c>
      <c r="CL30" s="41" t="n">
        <f aca="false">IF(OR(NOT(Tasks[[#This Row],[_IsLeaf]]=1),Tasks[[#This Row],[Resource]]=""),0,N(Tasks[[#This Row],[Duration]])*HoursPerDay*IF(Tasks[[#This Row],[Units]]="",DefaultUnits,Tasks[[#This Row],[Units]]))</f>
        <v>0</v>
      </c>
      <c r="CM30" s="41" t="n">
        <f aca="false">IF(Tasks[[#This Row],[_LeafWork]]=0,0,Tasks[[#This Row],[_LeafWork]]*IFERROR(INDEX(res_Rate,MATCH(Tasks[[#This Row],[Resource]],res_Name,0)),0))</f>
        <v>0</v>
      </c>
      <c r="CN30" s="41" t="n">
        <f aca="false">Tasks[[#This Row],[_LeafWork]]+IF(Tasks[[#This Row],[_IsLeaf]]=1,SUMIFS(asg_Work,asg_TaskUID,Tasks[[#This Row],[UID]],asg_Valid,1),0)</f>
        <v>0</v>
      </c>
      <c r="CO30" s="41" t="n">
        <f aca="false">Tasks[[#This Row],[_LeafCost]]+IF(Tasks[[#This Row],[_IsLeaf]]=1,SUMIFS(asg_Cost,asg_TaskUID,Tasks[[#This Row],[UID]],asg_Valid,1),0)</f>
        <v>0</v>
      </c>
      <c r="CP30" s="41" t="n">
        <f aca="false">IF(Tasks[[#This Row],[_LeafTotalCost]]=0,Tasks[[#This Row],[_LeafAC]],Tasks[[#This Row],[_LeafAC]]*Tasks[[#This Row],[_LeafCost]]/Tasks[[#This Row],[_LeafTotalCost]])</f>
        <v>0</v>
      </c>
      <c r="CQ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0" s="41" t="n">
        <f aca="false">IF(NOT(Tasks[[#This Row],[_IsLeaf]]=1),0,MAX(_xlfn.MAXIFS(Tasks[_Row],Tasks[Pred1 UID],Tasks[[#This Row],[UID]]),_xlfn.MAXIFS(Tasks[_Row],Tasks[Pred2 UID],Tasks[[#This Row],[UID]]),_xlfn.MAXIFS(Tasks[_Row],Tasks[Pred3 UID],Tasks[[#This Row],[UID]]),_xlfn.MAXIFS(Tasks[_Row],Tasks[Pred4 UID],Tasks[[#This Row],[UID]])))</f>
        <v>0</v>
      </c>
      <c r="CZ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0" s="101" t="str">
        <f aca="false">IF(NOT(Tasks[[#This Row],[_IsLeaf]]=1),"",IF(N(Tasks[[#This Row],[Duration]])&lt;=0,Tasks[[#This Row],[_LeafLateFinish]],WORKDAY.INTL(Tasks[[#This Row],[_LeafLateFinish]],-(Tasks[[#This Row],[Duration]]-1),WorkWeek,Holidays)))</f>
        <v/>
      </c>
      <c r="DC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0" s="100" t="b">
        <f aca="false">AND(Tasks[[#This Row],[_IsLeaf]]=1,Tasks[[#This Row],[_LeafProgress]]&lt;1,N(Tasks[[#This Row],[_LeafTotalSlack]])&lt;=CriticalSlackDays)</f>
        <v>0</v>
      </c>
      <c r="DE30" s="41" t="n">
        <f aca="false">IF(AND(Tasks[[#This Row],[_IsLeaf]]=1,Tasks[[#This Row],[_ConstraintCode]]=1,Tasks[[#This Row],[Mode]]&lt;&gt;"Manual",N(Tasks[[#This Row],[Actual Start]])=0),MAX(0,N(Tasks[[#This Row],[Free Slack]])),0)</f>
        <v>0</v>
      </c>
      <c r="DF30" s="101" t="str">
        <f aca="false">IF(NOT(Tasks[[#This Row],[_IsLeaf]]=1),"",IF(Tasks[[#This Row],[_AlapShift]]=0,Tasks[[#This Row],[_LeafCalcStart]],WORKDAY.INTL(Tasks[[#This Row],[_LeafCalcStart]],Tasks[[#This Row],[_AlapShift]],WorkWeek,Holidays)))</f>
        <v/>
      </c>
      <c r="DG30" s="101" t="str">
        <f aca="false">IF(NOT(Tasks[[#This Row],[_IsLeaf]]=1),"",IF(Tasks[[#This Row],[_AlapShift]]=0,Tasks[[#This Row],[_LeafCalcFinish]],WORKDAY.INTL(Tasks[[#This Row],[_LeafCalcFinish]],Tasks[[#This Row],[_AlapShift]],WorkWeek,Holidays)))</f>
        <v/>
      </c>
      <c r="DH30" s="101" t="str">
        <f aca="false">IF(NOT(Tasks[[#This Row],[_IsLeaf]]=1),"",IF(Tasks[[#This Row],[_AlapShift]]=0,Tasks[[#This Row],[_LeafFcstStart]],WORKDAY.INTL(Tasks[[#This Row],[_LeafFcstStart]],Tasks[[#This Row],[_AlapShift]],WorkWeek,Holidays)))</f>
        <v/>
      </c>
      <c r="DI30" s="101" t="str">
        <f aca="false">IF(NOT(Tasks[[#This Row],[_IsLeaf]]=1),"",IF(Tasks[[#This Row],[_AlapShift]]=0,Tasks[[#This Row],[_LeafFcstFinish]],WORKDAY.INTL(Tasks[[#This Row],[_LeafFcstFinish]],Tasks[[#This Row],[_AlapShift]],WorkWeek,Holidays)))</f>
        <v/>
      </c>
      <c r="DJ30" s="101" t="str">
        <f aca="false">IF(Tasks[[#This Row],[Task Name]]="","",IF(Tasks[[#This Row],[_IsSummary]],MIN(INDEX(Tasks[_ShownCalcStart],Tasks[[#This Row],[_Row]]+1):INDEX(Tasks[_ShownCalcStart],Tasks[[#This Row],[_Row]]+Tasks[[#This Row],[_Descendants]])),Tasks[[#This Row],[_ShownCalcStart]]))</f>
        <v/>
      </c>
      <c r="DK30" s="101" t="str">
        <f aca="false">IF(Tasks[[#This Row],[Task Name]]="","",IF(Tasks[[#This Row],[_IsSummary]],MAX(INDEX(Tasks[_ShownCalcFinish],Tasks[[#This Row],[_Row]]+1):INDEX(Tasks[_ShownCalcFinish],Tasks[[#This Row],[_Row]]+Tasks[[#This Row],[_Descendants]])),Tasks[[#This Row],[_ShownCalcFinish]]))</f>
        <v/>
      </c>
      <c r="D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0" s="41" t="n">
        <f aca="false">IF(AND(Tasks[[#This Row],[_IsLeaf]]=1,Tasks[[#This Row],[_LeafTotalWork]]&gt;0),NETWORKDAYS.INTL(ProjectStart,Tasks[[#This Row],[_ShownFcstStart]],WorkWeek,Holidays),0)</f>
        <v>0</v>
      </c>
      <c r="DY30" s="41" t="n">
        <f aca="false">IF(AND(Tasks[[#This Row],[_IsLeaf]]=1,Tasks[[#This Row],[_LeafTotalWork]]&gt;0),MAX(Tasks[[#This Row],[_StartWorkday]],NETWORKDAYS.INTL(ProjectStart,Tasks[[#This Row],[_ShownFcstFinish]],WorkWeek,Holidays)),0)</f>
        <v>0</v>
      </c>
      <c r="DZ30" s="41" t="n">
        <f aca="false">IF(AND(Tasks[[#This Row],[_IsLeaf]]=1,Tasks[[#This Row],[_LeafTotalWork]]&gt;0),Tasks[[#This Row],[_LeafWork]]/(Tasks[[#This Row],[_FinishWorkday]]-Tasks[[#This Row],[_StartWorkday]]+1),0)</f>
        <v>0</v>
      </c>
      <c r="EA30" s="41" t="n">
        <f aca="false">Tasks[[#This Row],[_WorkPerWorkday]]*(Tasks[[#This Row],[_StartWorkday]]-1)</f>
        <v>-0</v>
      </c>
      <c r="EB30" s="41" t="n">
        <f aca="false">IF(Tasks[[#This Row],[_IsLeaf]]=1,MAX(N(Tasks[[#This Row],[Duration]]),0.1),0)</f>
        <v>0</v>
      </c>
      <c r="EC30" s="41" t="n">
        <f aca="false">Tasks[[#This Row],[_WeightDur]]*Tasks[[#This Row],[_LeafProgress]]</f>
        <v>0</v>
      </c>
      <c r="ED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0" s="41" t="str">
        <f aca="false">IF(AND(Tasks[[#This Row],[_IsLeaf]]=1,N(Tasks[[#This Row],[Duration]])=0,Tasks[[#This Row],[_LeafProgress]]&lt;1),Tasks[[#This Row],[_ShownFcstFinish]]+Tasks[[#This Row],[_Row]]/100000,"")</f>
        <v/>
      </c>
      <c r="EF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0" s="41" t="n">
        <f aca="false">IF(NOT(Tasks[[#This Row],[_IsLeaf]]=1),0,IF(Tasks[[#This Row],[Baseline Cost]]="",Tasks[[#This Row],[_LeafTotalCost]],N(Tasks[[#This Row],[Baseline Cost]])))</f>
        <v>0</v>
      </c>
      <c r="EH30" s="41" t="n">
        <f aca="false">Tasks[[#This Row],[_LeafBudget]]*Tasks[[#This Row],[_PlannedPct]]</f>
        <v>0</v>
      </c>
      <c r="EI30" s="41" t="n">
        <f aca="false">Tasks[[#This Row],[_LeafBudget]]*Tasks[[#This Row],[_LeafProgress]]</f>
        <v>0</v>
      </c>
      <c r="EJ30" s="41" t="n">
        <f aca="false">IF(NOT(Tasks[[#This Row],[_IsLeaf]]=1),0,IF(Tasks[[#This Row],[Actual Cost]]="",Tasks[[#This Row],[_LeafTotalCost]]*Tasks[[#This Row],[_LeafProgress]],N(Tasks[[#This Row],[Actual Cost]])))</f>
        <v>0</v>
      </c>
      <c r="EK30" s="41" t="str">
        <f aca="false">IF(Tasks[[#This Row],[Task Name]]="","",LEFT(Tasks[[#This Row],[WBS]],FIND(".",Tasks[[#This Row],[WBS]]&amp;".")-1))</f>
        <v/>
      </c>
      <c r="EL30" s="41" t="str">
        <f aca="false">IF(AND(Tasks[[#This Row],[Task Name]]&lt;&gt;"",Tasks[[#This Row],[_Level]]=1),Tasks[[#This Row],[_Row]],"")</f>
        <v/>
      </c>
      <c r="EM30" s="41" t="str">
        <f aca="false">IF(AND(Tasks[[#This Row],[_IsLeaf]]=1,N(Tasks[[#This Row],[Duration]])=0),Tasks[[#This Row],[Planned Finish]]+Tasks[[#This Row],[_Row]]/100000,"")</f>
        <v/>
      </c>
      <c r="EN30" s="41" t="str">
        <f aca="false">IF(AND(Tasks[[#This Row],[_IsLeaf]]=1,Tasks[[#This Row],[_LeafProgress]]&lt;1,OR(N(Tasks[[#This Row],[Finish Var]])&gt;0,Tasks[[#This Row],[Status]]="Late Start")),MAX(0,Tasks[[#This Row],[Finish Var]])+1-Tasks[[#This Row],[_Row]]/1000000,"")</f>
        <v/>
      </c>
      <c r="EO30" s="41" t="str">
        <f aca="false">IF(AND(Tasks[[#This Row],[_IsLeaf]]=1,N(Tasks[[#This Row],[Actual Start]])=0,Tasks[[#This Row],[_ShownFcstStart]]&gt;=StatusDate,Tasks[[#This Row],[_ShownFcstStart]]&lt;=LookaheadEnd),Tasks[[#This Row],[_ShownFcstStart]]+Tasks[[#This Row],[_Row]]/100000,"")</f>
        <v/>
      </c>
      <c r="EP30" s="41" t="str">
        <f aca="false">IF(AND(Tasks[[#This Row],[_IsLeaf]]=1,Tasks[[#This Row],[_LeafProgress]]&lt;1,Tasks[[#This Row],[_ShownFcstFinish]]&gt;=StatusDate,Tasks[[#This Row],[_ShownFcstFinish]]&lt;=LookaheadEnd),Tasks[[#This Row],[_ShownFcstFinish]]+Tasks[[#This Row],[_Row]]/100000,"")</f>
        <v/>
      </c>
      <c r="EQ30" s="41" t="str">
        <f aca="false">IF(Tasks[[#This Row],[_LeafCritical]],Tasks[[#This Row],[_ShownFcstStart]]+Tasks[[#This Row],[_Row]]/100000,"")</f>
        <v/>
      </c>
      <c r="ER30" s="41" t="n">
        <f aca="false">Tasks[[#This Row],[_LeafWork]]*Tasks[[#This Row],[_LeafProgress]]</f>
        <v>0</v>
      </c>
      <c r="ES30" s="101" t="str">
        <f aca="false">IF(AND(Tasks[[#This Row],[_IsLeaf]]=1,Tasks[[#This Row],[_LeafProgress]]&gt;=1),IF(N(Tasks[[#This Row],[Actual Finish]])&gt;0,Tasks[[#This Row],[Actual Finish]],Tasks[[#This Row],[_ShownFcstFinish]]),"")</f>
        <v/>
      </c>
      <c r="ET30" s="41" t="n">
        <f aca="false">IF(Tasks[[#This Row],[_IsLeaf]]=1,N(Tasks[[#This Row],[Story Points]]),0)</f>
        <v>0</v>
      </c>
      <c r="EU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29"/>
      <c r="O31" s="29"/>
      <c r="P31" s="29"/>
      <c r="Q31" s="29"/>
      <c r="R31" s="29"/>
      <c r="S31" s="29"/>
      <c r="T31" s="30"/>
      <c r="U31" s="75"/>
      <c r="V31" s="75"/>
      <c r="W31" s="25" t="str">
        <f aca="false">IF(Tasks[[#This Row],[Task Name]]="","",IF(N(Tasks[[#This Row],[Baseline Start]])&gt;0,Tasks[[#This Row],[Baseline Start]],Tasks[[#This Row],[_CalcStart]]))</f>
        <v/>
      </c>
      <c r="X31" s="25" t="str">
        <f aca="false">IF(Tasks[[#This Row],[Task Name]]="","",IF(N(Tasks[[#This Row],[Baseline Finish]])&gt;0,Tasks[[#This Row],[Baseline Finish]],Tasks[[#This Row],[_CalcFinish]]))</f>
        <v/>
      </c>
      <c r="Y31" s="75"/>
      <c r="Z31" s="75"/>
      <c r="AA31" s="25" t="str">
        <f aca="false">IF(Tasks[[#This Row],[Task Name]]="","",IF(Tasks[[#This Row],[_IsSummary]],MIN(INDEX(Tasks[_ShownFcstStart],Tasks[[#This Row],[_Row]]+1):INDEX(Tasks[_ShownFcstStart],Tasks[[#This Row],[_Row]]+Tasks[[#This Row],[_Descendants]])),Tasks[[#This Row],[_ShownFcstStart]]))</f>
        <v/>
      </c>
      <c r="AB31" s="25" t="str">
        <f aca="false">IF(Tasks[[#This Row],[Task Name]]="","",IF(Tasks[[#This Row],[_IsSummary]],MAX(INDEX(Tasks[_ShownFcstFinish],Tasks[[#This Row],[_Row]]+1):INDEX(Tasks[_ShownFcstFinish],Tasks[[#This Row],[_Row]]+Tasks[[#This Row],[_Descendants]])),Tasks[[#This Row],[_ShownFcstFinish]]))</f>
        <v/>
      </c>
      <c r="AC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1" s="25" t="str">
        <f aca="false">IF(Tasks[[#This Row],[Task Name]]="","",IF(Tasks[[#This Row],[_IsSummary]],MIN(INDEX(Tasks[_LeafLateStart],Tasks[[#This Row],[_Row]]+1):INDEX(Tasks[_LeafLateStart],Tasks[[#This Row],[_Row]]+Tasks[[#This Row],[_Descendants]])),Tasks[[#This Row],[_LeafLateStart]]))</f>
        <v/>
      </c>
      <c r="AF31" s="25" t="str">
        <f aca="false">IF(Tasks[[#This Row],[Task Name]]="","",IF(Tasks[[#This Row],[_IsSummary]],MAX(INDEX(Tasks[_LeafLateFinish],Tasks[[#This Row],[_Row]]+1):INDEX(Tasks[_LeafLateFinish],Tasks[[#This Row],[_Row]]+Tasks[[#This Row],[_Descendants]])),Tasks[[#This Row],[_LeafLateFinish]]))</f>
        <v/>
      </c>
      <c r="AG31" s="28" t="str">
        <f aca="false">IF(Tasks[[#This Row],[Task Name]]="","",IF(Tasks[[#This Row],[_IsSummary]],MIN(INDEX(Tasks[_LeafTotalSlack],Tasks[[#This Row],[_Row]]+1):INDEX(Tasks[_LeafTotalSlack],Tasks[[#This Row],[_Row]]+Tasks[[#This Row],[_Descendants]])),Tasks[[#This Row],[_LeafTotalSlack]]))</f>
        <v/>
      </c>
      <c r="AH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1" s="28" t="str">
        <f aca="false">IF(Tasks[[#This Row],[Task Name]]="","",IF(IF(Tasks[[#This Row],[_IsSummary]],COUNTIF(INDEX(Tasks[_LeafCritical],Tasks[[#This Row],[_Row]]+1):INDEX(Tasks[_LeafCritical],Tasks[[#This Row],[_Row]]+Tasks[[#This Row],[_Descendants]]),TRUE())&gt;0,Tasks[[#This Row],[_LeafCritical]]),"Yes",""))</f>
        <v/>
      </c>
      <c r="AJ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1" s="89"/>
      <c r="AM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1" s="28" t="str">
        <f aca="false">IF(Tasks[[#This Row],[Task Name]]="","",IF(Tasks[[#This Row],[Progress]]&gt;=1,"Complete",IF(OR(N(Tasks[[#This Row],[Actual Start]])&gt;0,Tasks[[#This Row],[Progress]]&gt;0),IF(Tasks[[#This Row],[Finish Var]]&gt;0,"Behind","In Progress"),IF(Tasks[[#This Row],[Planned Start]]&lt;StatusDate,"Late Start","Not Started"))))</f>
        <v/>
      </c>
      <c r="AO31" s="30"/>
      <c r="AP31" s="89"/>
      <c r="AQ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1" s="96" t="str">
        <f aca="false">IF(Tasks[[#This Row],[Task Name]]="","",IF(Tasks[[#This Row],[_IsSummary]],SUM(INDEX(Tasks[_LeafTotalWork],Tasks[[#This Row],[_Row]]+1):INDEX(Tasks[_LeafTotalWork],Tasks[[#This Row],[_Row]]+Tasks[[#This Row],[_Descendants]])),Tasks[[#This Row],[_LeafTotalWork]]))</f>
        <v/>
      </c>
      <c r="AT31" s="97" t="str">
        <f aca="false">IF(Tasks[[#This Row],[Task Name]]="","",IF(Tasks[[#This Row],[_IsSummary]],SUM(INDEX(Tasks[_LeafTotalCost],Tasks[[#This Row],[_Row]]+1):INDEX(Tasks[_LeafTotalCost],Tasks[[#This Row],[_Row]]+Tasks[[#This Row],[_Descendants]])),Tasks[[#This Row],[_LeafTotalCost]]))</f>
        <v/>
      </c>
      <c r="AU31" s="98"/>
      <c r="AV31" s="29"/>
      <c r="AW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1" s="83"/>
      <c r="AY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1" s="30"/>
      <c r="BA31" s="25" t="str">
        <f aca="false">IF(Tasks[[#This Row],[Task Name]]="","",Tasks[[#This Row],[Forecast Start]])</f>
        <v/>
      </c>
      <c r="BB31" s="25" t="str">
        <f aca="false">IF(Tasks[[#This Row],[Task Name]]="","",Tasks[[#This Row],[Forecast Finish]])</f>
        <v/>
      </c>
      <c r="BC31" s="28" t="str">
        <f aca="false">IF(Tasks[[#This Row],[Task Name]]="","",IF(Tasks[[#This Row],[_IsSummary]],NETWORKDAYS.INTL(Tasks[[#This Row],[Forecast Start]],Tasks[[#This Row],[Forecast Finish]],WorkWeek,Holidays),N(Tasks[[#This Row],[Duration]])))</f>
        <v/>
      </c>
      <c r="BD31" s="96" t="str">
        <f aca="false">IF(Tasks[[#This Row],[Task Name]]="","",Tasks[[#This Row],[Work]])</f>
        <v/>
      </c>
      <c r="BE31" s="97" t="str">
        <f aca="false">IF(Tasks[[#This Row],[Task Name]]="","",Tasks[[#This Row],[Cost]])</f>
        <v/>
      </c>
      <c r="BF31" s="75"/>
      <c r="BG31" s="75"/>
      <c r="BH31" s="29"/>
      <c r="BI31" s="99"/>
      <c r="BJ31" s="98"/>
      <c r="BK31" s="28" t="str">
        <f aca="false">IF(OR(Tasks[[#This Row],[Task Name]]="",Tasks[[#This Row],[Baseline Duration]]=""),"",Tasks[[#This Row],[BL Source Duration]]-N(Tasks[[#This Row],[Baseline Duration]]))</f>
        <v/>
      </c>
      <c r="BL31" s="96" t="str">
        <f aca="false">IF(OR(Tasks[[#This Row],[Task Name]]="",Tasks[[#This Row],[Baseline Work]]=""),"",Tasks[[#This Row],[Work]]-N(Tasks[[#This Row],[Baseline Work]]))</f>
        <v/>
      </c>
      <c r="BM31" s="97" t="str">
        <f aca="false">IF(OR(Tasks[[#This Row],[Task Name]]="",Tasks[[#This Row],[Baseline Cost]]=""),"",Tasks[[#This Row],[Cost]]-N(Tasks[[#This Row],[Baseline Cost]]))</f>
        <v/>
      </c>
      <c r="BN31" s="97" t="str">
        <f aca="false">IF(Tasks[[#This Row],[Task Name]]="","",IF(Tasks[[#This Row],[_IsSummary]],SUM(INDEX(Tasks[_LeafBudget],Tasks[[#This Row],[_Row]]+1):INDEX(Tasks[_LeafBudget],Tasks[[#This Row],[_Row]]+Tasks[[#This Row],[_Descendants]])),Tasks[[#This Row],[_LeafBudget]]))</f>
        <v/>
      </c>
      <c r="BO31" s="97" t="str">
        <f aca="false">IF(Tasks[[#This Row],[Task Name]]="","",IF(Tasks[[#This Row],[_IsSummary]],SUM(INDEX(Tasks[_LeafPV],Tasks[[#This Row],[_Row]]+1):INDEX(Tasks[_LeafPV],Tasks[[#This Row],[_Row]]+Tasks[[#This Row],[_Descendants]])),Tasks[[#This Row],[_LeafPV]]))</f>
        <v/>
      </c>
      <c r="BP31" s="97" t="str">
        <f aca="false">IF(Tasks[[#This Row],[Task Name]]="","",IF(Tasks[[#This Row],[_IsSummary]],SUM(INDEX(Tasks[_LeafEV],Tasks[[#This Row],[_Row]]+1):INDEX(Tasks[_LeafEV],Tasks[[#This Row],[_Row]]+Tasks[[#This Row],[_Descendants]])),Tasks[[#This Row],[_LeafEV]]))</f>
        <v/>
      </c>
      <c r="BQ31" s="97" t="str">
        <f aca="false">IF(Tasks[[#This Row],[Task Name]]="","",IF(Tasks[[#This Row],[_IsSummary]],SUM(INDEX(Tasks[_LeafAC],Tasks[[#This Row],[_Row]]+1):INDEX(Tasks[_LeafAC],Tasks[[#This Row],[_Row]]+Tasks[[#This Row],[_Descendants]])),Tasks[[#This Row],[_LeafAC]]))</f>
        <v/>
      </c>
      <c r="BR31" s="41" t="str">
        <f aca="false">IF(Tasks[[#This Row],[Task Name]]="","",MAX(1,N(Tasks[[#This Row],[Level]])))</f>
        <v/>
      </c>
      <c r="BS31" s="41" t="n">
        <f aca="false">ROW()-ROW(Tasks[[#Headers],[ID]])</f>
        <v>26</v>
      </c>
      <c r="BT31" s="41" t="n">
        <f aca="false">IF(OR(Tasks[[#This Row],[Task Name]]="",Tasks[[#This Row],[_Level]]&lt;=1),0,IFERROR(LOOKUP(2,1/(Tasks[[#Headers],[_Level]]:Tasks[[#This Row],[_Level]]=Tasks[[#This Row],[_Level]]-1),ROW(Tasks[[#Headers],[_Level]]:Tasks[[#This Row],[_Level]])),0))</f>
        <v>0</v>
      </c>
      <c r="BU31" s="41" t="n">
        <f aca="false">IFERROR(N(INDEX(Tasks[_Level],Tasks[[#This Row],[_Row]]+1)),0)</f>
        <v>0</v>
      </c>
      <c r="BV31" s="100" t="b">
        <f aca="false">AND(Tasks[[#This Row],[Task Name]]&lt;&gt;"",Tasks[[#This Row],[_NextLevel]]&gt;Tasks[[#This Row],[_Level]])</f>
        <v>0</v>
      </c>
      <c r="BW31" s="41" t="n">
        <f aca="false">IF(Tasks[[#This Row],[_IsSummary]],COUNTIF(Tasks[WBS],Tasks[[#This Row],[WBS]]&amp;".*"),0)</f>
        <v>0</v>
      </c>
      <c r="BX31" s="41" t="n">
        <f aca="false">IF(AND(Tasks[[#This Row],[Task Name]]&lt;&gt;"",NOT(Tasks[[#This Row],[_IsSummary]])),1,0)</f>
        <v>0</v>
      </c>
      <c r="BY31" s="41" t="n">
        <f aca="false">IF(N(Tasks[[#This Row],[Pred1 UID]])=0,0,IFERROR(MATCH(Tasks[[#This Row],[Pred1 UID]],Tasks[UID],0),-1))</f>
        <v>0</v>
      </c>
      <c r="BZ31" s="41" t="n">
        <f aca="false">IF(N(Tasks[[#This Row],[Pred2 UID]])=0,0,IFERROR(MATCH(Tasks[[#This Row],[Pred2 UID]],Tasks[UID],0),-1))</f>
        <v>0</v>
      </c>
      <c r="CA31" s="41" t="n">
        <f aca="false">IF(N(Tasks[[#This Row],[Pred3 UID]])=0,0,IFERROR(MATCH(Tasks[[#This Row],[Pred3 UID]],Tasks[UID],0),-1))</f>
        <v>0</v>
      </c>
      <c r="CB31" s="41" t="n">
        <f aca="false">IF(N(Tasks[[#This Row],[Pred4 UID]])=0,0,IFERROR(MATCH(Tasks[[#This Row],[Pred4 UID]],Tasks[UID],0),-1))</f>
        <v>0</v>
      </c>
      <c r="CC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1" s="101" t="n">
        <f aca="false">IF(OR(Tasks[[#This Row],[_ConstraintCode]]=2,Tasks[[#This Row],[_ConstraintCode]]=3,Tasks[[#This Row],[_ConstraintCode]]=4,Tasks[[#This Row],[_ConstraintCode]]=6),Tasks[[#This Row],[_ConstraintStart]],0)</f>
        <v>0</v>
      </c>
      <c r="CF31" s="101" t="n">
        <f aca="false">IF(OR(Tasks[[#This Row],[_ConstraintCode]]=2,Tasks[[#This Row],[_ConstraintCode]]=3,Tasks[[#This Row],[_ConstraintCode]]=5,Tasks[[#This Row],[_ConstraintCode]]=7),Tasks[[#This Row],[_ConstraintStart]],2958465)</f>
        <v>2958465</v>
      </c>
      <c r="CG3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1" s="101" t="str">
        <f aca="false">IF(NOT(Tasks[[#This Row],[_IsLeaf]]=1),"",IF(N(Tasks[[#This Row],[Duration]])&lt;=0,Tasks[[#This Row],[_LeafCalcStart]],WORKDAY.INTL(Tasks[[#This Row],[_LeafCalcStart]],Tasks[[#This Row],[Duration]]-1,WorkWeek,Holidays)))</f>
        <v/>
      </c>
      <c r="CI3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1" s="41" t="n">
        <f aca="false">IF(NOT(Tasks[[#This Row],[_IsLeaf]]=1),0,IF(N(Tasks[[#This Row],[Actual Finish]])&gt;0,1,MIN(1,N(Tasks[[#This Row],[% Complete]]))))</f>
        <v>0</v>
      </c>
      <c r="CL31" s="41" t="n">
        <f aca="false">IF(OR(NOT(Tasks[[#This Row],[_IsLeaf]]=1),Tasks[[#This Row],[Resource]]=""),0,N(Tasks[[#This Row],[Duration]])*HoursPerDay*IF(Tasks[[#This Row],[Units]]="",DefaultUnits,Tasks[[#This Row],[Units]]))</f>
        <v>0</v>
      </c>
      <c r="CM31" s="41" t="n">
        <f aca="false">IF(Tasks[[#This Row],[_LeafWork]]=0,0,Tasks[[#This Row],[_LeafWork]]*IFERROR(INDEX(res_Rate,MATCH(Tasks[[#This Row],[Resource]],res_Name,0)),0))</f>
        <v>0</v>
      </c>
      <c r="CN31" s="41" t="n">
        <f aca="false">Tasks[[#This Row],[_LeafWork]]+IF(Tasks[[#This Row],[_IsLeaf]]=1,SUMIFS(asg_Work,asg_TaskUID,Tasks[[#This Row],[UID]],asg_Valid,1),0)</f>
        <v>0</v>
      </c>
      <c r="CO31" s="41" t="n">
        <f aca="false">Tasks[[#This Row],[_LeafCost]]+IF(Tasks[[#This Row],[_IsLeaf]]=1,SUMIFS(asg_Cost,asg_TaskUID,Tasks[[#This Row],[UID]],asg_Valid,1),0)</f>
        <v>0</v>
      </c>
      <c r="CP31" s="41" t="n">
        <f aca="false">IF(Tasks[[#This Row],[_LeafTotalCost]]=0,Tasks[[#This Row],[_LeafAC]],Tasks[[#This Row],[_LeafAC]]*Tasks[[#This Row],[_LeafCost]]/Tasks[[#This Row],[_LeafTotalCost]])</f>
        <v>0</v>
      </c>
      <c r="CQ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1" s="41" t="n">
        <f aca="false">IF(NOT(Tasks[[#This Row],[_IsLeaf]]=1),0,MAX(_xlfn.MAXIFS(Tasks[_Row],Tasks[Pred1 UID],Tasks[[#This Row],[UID]]),_xlfn.MAXIFS(Tasks[_Row],Tasks[Pred2 UID],Tasks[[#This Row],[UID]]),_xlfn.MAXIFS(Tasks[_Row],Tasks[Pred3 UID],Tasks[[#This Row],[UID]]),_xlfn.MAXIFS(Tasks[_Row],Tasks[Pred4 UID],Tasks[[#This Row],[UID]])))</f>
        <v>0</v>
      </c>
      <c r="CZ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1" s="101" t="str">
        <f aca="false">IF(NOT(Tasks[[#This Row],[_IsLeaf]]=1),"",IF(N(Tasks[[#This Row],[Duration]])&lt;=0,Tasks[[#This Row],[_LeafLateFinish]],WORKDAY.INTL(Tasks[[#This Row],[_LeafLateFinish]],-(Tasks[[#This Row],[Duration]]-1),WorkWeek,Holidays)))</f>
        <v/>
      </c>
      <c r="DC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1" s="100" t="b">
        <f aca="false">AND(Tasks[[#This Row],[_IsLeaf]]=1,Tasks[[#This Row],[_LeafProgress]]&lt;1,N(Tasks[[#This Row],[_LeafTotalSlack]])&lt;=CriticalSlackDays)</f>
        <v>0</v>
      </c>
      <c r="DE31" s="41" t="n">
        <f aca="false">IF(AND(Tasks[[#This Row],[_IsLeaf]]=1,Tasks[[#This Row],[_ConstraintCode]]=1,Tasks[[#This Row],[Mode]]&lt;&gt;"Manual",N(Tasks[[#This Row],[Actual Start]])=0),MAX(0,N(Tasks[[#This Row],[Free Slack]])),0)</f>
        <v>0</v>
      </c>
      <c r="DF31" s="101" t="str">
        <f aca="false">IF(NOT(Tasks[[#This Row],[_IsLeaf]]=1),"",IF(Tasks[[#This Row],[_AlapShift]]=0,Tasks[[#This Row],[_LeafCalcStart]],WORKDAY.INTL(Tasks[[#This Row],[_LeafCalcStart]],Tasks[[#This Row],[_AlapShift]],WorkWeek,Holidays)))</f>
        <v/>
      </c>
      <c r="DG31" s="101" t="str">
        <f aca="false">IF(NOT(Tasks[[#This Row],[_IsLeaf]]=1),"",IF(Tasks[[#This Row],[_AlapShift]]=0,Tasks[[#This Row],[_LeafCalcFinish]],WORKDAY.INTL(Tasks[[#This Row],[_LeafCalcFinish]],Tasks[[#This Row],[_AlapShift]],WorkWeek,Holidays)))</f>
        <v/>
      </c>
      <c r="DH31" s="101" t="str">
        <f aca="false">IF(NOT(Tasks[[#This Row],[_IsLeaf]]=1),"",IF(Tasks[[#This Row],[_AlapShift]]=0,Tasks[[#This Row],[_LeafFcstStart]],WORKDAY.INTL(Tasks[[#This Row],[_LeafFcstStart]],Tasks[[#This Row],[_AlapShift]],WorkWeek,Holidays)))</f>
        <v/>
      </c>
      <c r="DI31" s="101" t="str">
        <f aca="false">IF(NOT(Tasks[[#This Row],[_IsLeaf]]=1),"",IF(Tasks[[#This Row],[_AlapShift]]=0,Tasks[[#This Row],[_LeafFcstFinish]],WORKDAY.INTL(Tasks[[#This Row],[_LeafFcstFinish]],Tasks[[#This Row],[_AlapShift]],WorkWeek,Holidays)))</f>
        <v/>
      </c>
      <c r="DJ31" s="101" t="str">
        <f aca="false">IF(Tasks[[#This Row],[Task Name]]="","",IF(Tasks[[#This Row],[_IsSummary]],MIN(INDEX(Tasks[_ShownCalcStart],Tasks[[#This Row],[_Row]]+1):INDEX(Tasks[_ShownCalcStart],Tasks[[#This Row],[_Row]]+Tasks[[#This Row],[_Descendants]])),Tasks[[#This Row],[_ShownCalcStart]]))</f>
        <v/>
      </c>
      <c r="DK31" s="101" t="str">
        <f aca="false">IF(Tasks[[#This Row],[Task Name]]="","",IF(Tasks[[#This Row],[_IsSummary]],MAX(INDEX(Tasks[_ShownCalcFinish],Tasks[[#This Row],[_Row]]+1):INDEX(Tasks[_ShownCalcFinish],Tasks[[#This Row],[_Row]]+Tasks[[#This Row],[_Descendants]])),Tasks[[#This Row],[_ShownCalcFinish]]))</f>
        <v/>
      </c>
      <c r="D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1" s="41" t="n">
        <f aca="false">IF(AND(Tasks[[#This Row],[_IsLeaf]]=1,Tasks[[#This Row],[_LeafTotalWork]]&gt;0),NETWORKDAYS.INTL(ProjectStart,Tasks[[#This Row],[_ShownFcstStart]],WorkWeek,Holidays),0)</f>
        <v>0</v>
      </c>
      <c r="DY31" s="41" t="n">
        <f aca="false">IF(AND(Tasks[[#This Row],[_IsLeaf]]=1,Tasks[[#This Row],[_LeafTotalWork]]&gt;0),MAX(Tasks[[#This Row],[_StartWorkday]],NETWORKDAYS.INTL(ProjectStart,Tasks[[#This Row],[_ShownFcstFinish]],WorkWeek,Holidays)),0)</f>
        <v>0</v>
      </c>
      <c r="DZ31" s="41" t="n">
        <f aca="false">IF(AND(Tasks[[#This Row],[_IsLeaf]]=1,Tasks[[#This Row],[_LeafTotalWork]]&gt;0),Tasks[[#This Row],[_LeafWork]]/(Tasks[[#This Row],[_FinishWorkday]]-Tasks[[#This Row],[_StartWorkday]]+1),0)</f>
        <v>0</v>
      </c>
      <c r="EA31" s="41" t="n">
        <f aca="false">Tasks[[#This Row],[_WorkPerWorkday]]*(Tasks[[#This Row],[_StartWorkday]]-1)</f>
        <v>-0</v>
      </c>
      <c r="EB31" s="41" t="n">
        <f aca="false">IF(Tasks[[#This Row],[_IsLeaf]]=1,MAX(N(Tasks[[#This Row],[Duration]]),0.1),0)</f>
        <v>0</v>
      </c>
      <c r="EC31" s="41" t="n">
        <f aca="false">Tasks[[#This Row],[_WeightDur]]*Tasks[[#This Row],[_LeafProgress]]</f>
        <v>0</v>
      </c>
      <c r="ED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1" s="41" t="str">
        <f aca="false">IF(AND(Tasks[[#This Row],[_IsLeaf]]=1,N(Tasks[[#This Row],[Duration]])=0,Tasks[[#This Row],[_LeafProgress]]&lt;1),Tasks[[#This Row],[_ShownFcstFinish]]+Tasks[[#This Row],[_Row]]/100000,"")</f>
        <v/>
      </c>
      <c r="EF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1" s="41" t="n">
        <f aca="false">IF(NOT(Tasks[[#This Row],[_IsLeaf]]=1),0,IF(Tasks[[#This Row],[Baseline Cost]]="",Tasks[[#This Row],[_LeafTotalCost]],N(Tasks[[#This Row],[Baseline Cost]])))</f>
        <v>0</v>
      </c>
      <c r="EH31" s="41" t="n">
        <f aca="false">Tasks[[#This Row],[_LeafBudget]]*Tasks[[#This Row],[_PlannedPct]]</f>
        <v>0</v>
      </c>
      <c r="EI31" s="41" t="n">
        <f aca="false">Tasks[[#This Row],[_LeafBudget]]*Tasks[[#This Row],[_LeafProgress]]</f>
        <v>0</v>
      </c>
      <c r="EJ31" s="41" t="n">
        <f aca="false">IF(NOT(Tasks[[#This Row],[_IsLeaf]]=1),0,IF(Tasks[[#This Row],[Actual Cost]]="",Tasks[[#This Row],[_LeafTotalCost]]*Tasks[[#This Row],[_LeafProgress]],N(Tasks[[#This Row],[Actual Cost]])))</f>
        <v>0</v>
      </c>
      <c r="EK31" s="41" t="str">
        <f aca="false">IF(Tasks[[#This Row],[Task Name]]="","",LEFT(Tasks[[#This Row],[WBS]],FIND(".",Tasks[[#This Row],[WBS]]&amp;".")-1))</f>
        <v/>
      </c>
      <c r="EL31" s="41" t="str">
        <f aca="false">IF(AND(Tasks[[#This Row],[Task Name]]&lt;&gt;"",Tasks[[#This Row],[_Level]]=1),Tasks[[#This Row],[_Row]],"")</f>
        <v/>
      </c>
      <c r="EM31" s="41" t="str">
        <f aca="false">IF(AND(Tasks[[#This Row],[_IsLeaf]]=1,N(Tasks[[#This Row],[Duration]])=0),Tasks[[#This Row],[Planned Finish]]+Tasks[[#This Row],[_Row]]/100000,"")</f>
        <v/>
      </c>
      <c r="EN31" s="41" t="str">
        <f aca="false">IF(AND(Tasks[[#This Row],[_IsLeaf]]=1,Tasks[[#This Row],[_LeafProgress]]&lt;1,OR(N(Tasks[[#This Row],[Finish Var]])&gt;0,Tasks[[#This Row],[Status]]="Late Start")),MAX(0,Tasks[[#This Row],[Finish Var]])+1-Tasks[[#This Row],[_Row]]/1000000,"")</f>
        <v/>
      </c>
      <c r="EO31" s="41" t="str">
        <f aca="false">IF(AND(Tasks[[#This Row],[_IsLeaf]]=1,N(Tasks[[#This Row],[Actual Start]])=0,Tasks[[#This Row],[_ShownFcstStart]]&gt;=StatusDate,Tasks[[#This Row],[_ShownFcstStart]]&lt;=LookaheadEnd),Tasks[[#This Row],[_ShownFcstStart]]+Tasks[[#This Row],[_Row]]/100000,"")</f>
        <v/>
      </c>
      <c r="EP31" s="41" t="str">
        <f aca="false">IF(AND(Tasks[[#This Row],[_IsLeaf]]=1,Tasks[[#This Row],[_LeafProgress]]&lt;1,Tasks[[#This Row],[_ShownFcstFinish]]&gt;=StatusDate,Tasks[[#This Row],[_ShownFcstFinish]]&lt;=LookaheadEnd),Tasks[[#This Row],[_ShownFcstFinish]]+Tasks[[#This Row],[_Row]]/100000,"")</f>
        <v/>
      </c>
      <c r="EQ31" s="41" t="str">
        <f aca="false">IF(Tasks[[#This Row],[_LeafCritical]],Tasks[[#This Row],[_ShownFcstStart]]+Tasks[[#This Row],[_Row]]/100000,"")</f>
        <v/>
      </c>
      <c r="ER31" s="41" t="n">
        <f aca="false">Tasks[[#This Row],[_LeafWork]]*Tasks[[#This Row],[_LeafProgress]]</f>
        <v>0</v>
      </c>
      <c r="ES31" s="101" t="str">
        <f aca="false">IF(AND(Tasks[[#This Row],[_IsLeaf]]=1,Tasks[[#This Row],[_LeafProgress]]&gt;=1),IF(N(Tasks[[#This Row],[Actual Finish]])&gt;0,Tasks[[#This Row],[Actual Finish]],Tasks[[#This Row],[_ShownFcstFinish]]),"")</f>
        <v/>
      </c>
      <c r="ET31" s="41" t="n">
        <f aca="false">IF(Tasks[[#This Row],[_IsLeaf]]=1,N(Tasks[[#This Row],[Story Points]]),0)</f>
        <v>0</v>
      </c>
      <c r="EU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29"/>
      <c r="O32" s="29"/>
      <c r="P32" s="29"/>
      <c r="Q32" s="29"/>
      <c r="R32" s="29"/>
      <c r="S32" s="29"/>
      <c r="T32" s="30"/>
      <c r="U32" s="75"/>
      <c r="V32" s="75"/>
      <c r="W32" s="25" t="str">
        <f aca="false">IF(Tasks[[#This Row],[Task Name]]="","",IF(N(Tasks[[#This Row],[Baseline Start]])&gt;0,Tasks[[#This Row],[Baseline Start]],Tasks[[#This Row],[_CalcStart]]))</f>
        <v/>
      </c>
      <c r="X32" s="25" t="str">
        <f aca="false">IF(Tasks[[#This Row],[Task Name]]="","",IF(N(Tasks[[#This Row],[Baseline Finish]])&gt;0,Tasks[[#This Row],[Baseline Finish]],Tasks[[#This Row],[_CalcFinish]]))</f>
        <v/>
      </c>
      <c r="Y32" s="75"/>
      <c r="Z32" s="75"/>
      <c r="AA32" s="25" t="str">
        <f aca="false">IF(Tasks[[#This Row],[Task Name]]="","",IF(Tasks[[#This Row],[_IsSummary]],MIN(INDEX(Tasks[_ShownFcstStart],Tasks[[#This Row],[_Row]]+1):INDEX(Tasks[_ShownFcstStart],Tasks[[#This Row],[_Row]]+Tasks[[#This Row],[_Descendants]])),Tasks[[#This Row],[_ShownFcstStart]]))</f>
        <v/>
      </c>
      <c r="AB32" s="25" t="str">
        <f aca="false">IF(Tasks[[#This Row],[Task Name]]="","",IF(Tasks[[#This Row],[_IsSummary]],MAX(INDEX(Tasks[_ShownFcstFinish],Tasks[[#This Row],[_Row]]+1):INDEX(Tasks[_ShownFcstFinish],Tasks[[#This Row],[_Row]]+Tasks[[#This Row],[_Descendants]])),Tasks[[#This Row],[_ShownFcstFinish]]))</f>
        <v/>
      </c>
      <c r="AC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2" s="25" t="str">
        <f aca="false">IF(Tasks[[#This Row],[Task Name]]="","",IF(Tasks[[#This Row],[_IsSummary]],MIN(INDEX(Tasks[_LeafLateStart],Tasks[[#This Row],[_Row]]+1):INDEX(Tasks[_LeafLateStart],Tasks[[#This Row],[_Row]]+Tasks[[#This Row],[_Descendants]])),Tasks[[#This Row],[_LeafLateStart]]))</f>
        <v/>
      </c>
      <c r="AF32" s="25" t="str">
        <f aca="false">IF(Tasks[[#This Row],[Task Name]]="","",IF(Tasks[[#This Row],[_IsSummary]],MAX(INDEX(Tasks[_LeafLateFinish],Tasks[[#This Row],[_Row]]+1):INDEX(Tasks[_LeafLateFinish],Tasks[[#This Row],[_Row]]+Tasks[[#This Row],[_Descendants]])),Tasks[[#This Row],[_LeafLateFinish]]))</f>
        <v/>
      </c>
      <c r="AG32" s="28" t="str">
        <f aca="false">IF(Tasks[[#This Row],[Task Name]]="","",IF(Tasks[[#This Row],[_IsSummary]],MIN(INDEX(Tasks[_LeafTotalSlack],Tasks[[#This Row],[_Row]]+1):INDEX(Tasks[_LeafTotalSlack],Tasks[[#This Row],[_Row]]+Tasks[[#This Row],[_Descendants]])),Tasks[[#This Row],[_LeafTotalSlack]]))</f>
        <v/>
      </c>
      <c r="AH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2" s="28" t="str">
        <f aca="false">IF(Tasks[[#This Row],[Task Name]]="","",IF(IF(Tasks[[#This Row],[_IsSummary]],COUNTIF(INDEX(Tasks[_LeafCritical],Tasks[[#This Row],[_Row]]+1):INDEX(Tasks[_LeafCritical],Tasks[[#This Row],[_Row]]+Tasks[[#This Row],[_Descendants]]),TRUE())&gt;0,Tasks[[#This Row],[_LeafCritical]]),"Yes",""))</f>
        <v/>
      </c>
      <c r="AJ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2" s="89"/>
      <c r="AM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2" s="28" t="str">
        <f aca="false">IF(Tasks[[#This Row],[Task Name]]="","",IF(Tasks[[#This Row],[Progress]]&gt;=1,"Complete",IF(OR(N(Tasks[[#This Row],[Actual Start]])&gt;0,Tasks[[#This Row],[Progress]]&gt;0),IF(Tasks[[#This Row],[Finish Var]]&gt;0,"Behind","In Progress"),IF(Tasks[[#This Row],[Planned Start]]&lt;StatusDate,"Late Start","Not Started"))))</f>
        <v/>
      </c>
      <c r="AO32" s="30"/>
      <c r="AP32" s="89"/>
      <c r="AQ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2" s="96" t="str">
        <f aca="false">IF(Tasks[[#This Row],[Task Name]]="","",IF(Tasks[[#This Row],[_IsSummary]],SUM(INDEX(Tasks[_LeafTotalWork],Tasks[[#This Row],[_Row]]+1):INDEX(Tasks[_LeafTotalWork],Tasks[[#This Row],[_Row]]+Tasks[[#This Row],[_Descendants]])),Tasks[[#This Row],[_LeafTotalWork]]))</f>
        <v/>
      </c>
      <c r="AT32" s="97" t="str">
        <f aca="false">IF(Tasks[[#This Row],[Task Name]]="","",IF(Tasks[[#This Row],[_IsSummary]],SUM(INDEX(Tasks[_LeafTotalCost],Tasks[[#This Row],[_Row]]+1):INDEX(Tasks[_LeafTotalCost],Tasks[[#This Row],[_Row]]+Tasks[[#This Row],[_Descendants]])),Tasks[[#This Row],[_LeafTotalCost]]))</f>
        <v/>
      </c>
      <c r="AU32" s="98"/>
      <c r="AV32" s="29"/>
      <c r="AW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2" s="83"/>
      <c r="AY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2" s="30"/>
      <c r="BA32" s="25" t="str">
        <f aca="false">IF(Tasks[[#This Row],[Task Name]]="","",Tasks[[#This Row],[Forecast Start]])</f>
        <v/>
      </c>
      <c r="BB32" s="25" t="str">
        <f aca="false">IF(Tasks[[#This Row],[Task Name]]="","",Tasks[[#This Row],[Forecast Finish]])</f>
        <v/>
      </c>
      <c r="BC32" s="28" t="str">
        <f aca="false">IF(Tasks[[#This Row],[Task Name]]="","",IF(Tasks[[#This Row],[_IsSummary]],NETWORKDAYS.INTL(Tasks[[#This Row],[Forecast Start]],Tasks[[#This Row],[Forecast Finish]],WorkWeek,Holidays),N(Tasks[[#This Row],[Duration]])))</f>
        <v/>
      </c>
      <c r="BD32" s="96" t="str">
        <f aca="false">IF(Tasks[[#This Row],[Task Name]]="","",Tasks[[#This Row],[Work]])</f>
        <v/>
      </c>
      <c r="BE32" s="97" t="str">
        <f aca="false">IF(Tasks[[#This Row],[Task Name]]="","",Tasks[[#This Row],[Cost]])</f>
        <v/>
      </c>
      <c r="BF32" s="75"/>
      <c r="BG32" s="75"/>
      <c r="BH32" s="29"/>
      <c r="BI32" s="99"/>
      <c r="BJ32" s="98"/>
      <c r="BK32" s="28" t="str">
        <f aca="false">IF(OR(Tasks[[#This Row],[Task Name]]="",Tasks[[#This Row],[Baseline Duration]]=""),"",Tasks[[#This Row],[BL Source Duration]]-N(Tasks[[#This Row],[Baseline Duration]]))</f>
        <v/>
      </c>
      <c r="BL32" s="96" t="str">
        <f aca="false">IF(OR(Tasks[[#This Row],[Task Name]]="",Tasks[[#This Row],[Baseline Work]]=""),"",Tasks[[#This Row],[Work]]-N(Tasks[[#This Row],[Baseline Work]]))</f>
        <v/>
      </c>
      <c r="BM32" s="97" t="str">
        <f aca="false">IF(OR(Tasks[[#This Row],[Task Name]]="",Tasks[[#This Row],[Baseline Cost]]=""),"",Tasks[[#This Row],[Cost]]-N(Tasks[[#This Row],[Baseline Cost]]))</f>
        <v/>
      </c>
      <c r="BN32" s="97" t="str">
        <f aca="false">IF(Tasks[[#This Row],[Task Name]]="","",IF(Tasks[[#This Row],[_IsSummary]],SUM(INDEX(Tasks[_LeafBudget],Tasks[[#This Row],[_Row]]+1):INDEX(Tasks[_LeafBudget],Tasks[[#This Row],[_Row]]+Tasks[[#This Row],[_Descendants]])),Tasks[[#This Row],[_LeafBudget]]))</f>
        <v/>
      </c>
      <c r="BO32" s="97" t="str">
        <f aca="false">IF(Tasks[[#This Row],[Task Name]]="","",IF(Tasks[[#This Row],[_IsSummary]],SUM(INDEX(Tasks[_LeafPV],Tasks[[#This Row],[_Row]]+1):INDEX(Tasks[_LeafPV],Tasks[[#This Row],[_Row]]+Tasks[[#This Row],[_Descendants]])),Tasks[[#This Row],[_LeafPV]]))</f>
        <v/>
      </c>
      <c r="BP32" s="97" t="str">
        <f aca="false">IF(Tasks[[#This Row],[Task Name]]="","",IF(Tasks[[#This Row],[_IsSummary]],SUM(INDEX(Tasks[_LeafEV],Tasks[[#This Row],[_Row]]+1):INDEX(Tasks[_LeafEV],Tasks[[#This Row],[_Row]]+Tasks[[#This Row],[_Descendants]])),Tasks[[#This Row],[_LeafEV]]))</f>
        <v/>
      </c>
      <c r="BQ32" s="97" t="str">
        <f aca="false">IF(Tasks[[#This Row],[Task Name]]="","",IF(Tasks[[#This Row],[_IsSummary]],SUM(INDEX(Tasks[_LeafAC],Tasks[[#This Row],[_Row]]+1):INDEX(Tasks[_LeafAC],Tasks[[#This Row],[_Row]]+Tasks[[#This Row],[_Descendants]])),Tasks[[#This Row],[_LeafAC]]))</f>
        <v/>
      </c>
      <c r="BR32" s="41" t="str">
        <f aca="false">IF(Tasks[[#This Row],[Task Name]]="","",MAX(1,N(Tasks[[#This Row],[Level]])))</f>
        <v/>
      </c>
      <c r="BS32" s="41" t="n">
        <f aca="false">ROW()-ROW(Tasks[[#Headers],[ID]])</f>
        <v>27</v>
      </c>
      <c r="BT32" s="41" t="n">
        <f aca="false">IF(OR(Tasks[[#This Row],[Task Name]]="",Tasks[[#This Row],[_Level]]&lt;=1),0,IFERROR(LOOKUP(2,1/(Tasks[[#Headers],[_Level]]:Tasks[[#This Row],[_Level]]=Tasks[[#This Row],[_Level]]-1),ROW(Tasks[[#Headers],[_Level]]:Tasks[[#This Row],[_Level]])),0))</f>
        <v>0</v>
      </c>
      <c r="BU32" s="41" t="n">
        <f aca="false">IFERROR(N(INDEX(Tasks[_Level],Tasks[[#This Row],[_Row]]+1)),0)</f>
        <v>0</v>
      </c>
      <c r="BV32" s="100" t="b">
        <f aca="false">AND(Tasks[[#This Row],[Task Name]]&lt;&gt;"",Tasks[[#This Row],[_NextLevel]]&gt;Tasks[[#This Row],[_Level]])</f>
        <v>0</v>
      </c>
      <c r="BW32" s="41" t="n">
        <f aca="false">IF(Tasks[[#This Row],[_IsSummary]],COUNTIF(Tasks[WBS],Tasks[[#This Row],[WBS]]&amp;".*"),0)</f>
        <v>0</v>
      </c>
      <c r="BX32" s="41" t="n">
        <f aca="false">IF(AND(Tasks[[#This Row],[Task Name]]&lt;&gt;"",NOT(Tasks[[#This Row],[_IsSummary]])),1,0)</f>
        <v>0</v>
      </c>
      <c r="BY32" s="41" t="n">
        <f aca="false">IF(N(Tasks[[#This Row],[Pred1 UID]])=0,0,IFERROR(MATCH(Tasks[[#This Row],[Pred1 UID]],Tasks[UID],0),-1))</f>
        <v>0</v>
      </c>
      <c r="BZ32" s="41" t="n">
        <f aca="false">IF(N(Tasks[[#This Row],[Pred2 UID]])=0,0,IFERROR(MATCH(Tasks[[#This Row],[Pred2 UID]],Tasks[UID],0),-1))</f>
        <v>0</v>
      </c>
      <c r="CA32" s="41" t="n">
        <f aca="false">IF(N(Tasks[[#This Row],[Pred3 UID]])=0,0,IFERROR(MATCH(Tasks[[#This Row],[Pred3 UID]],Tasks[UID],0),-1))</f>
        <v>0</v>
      </c>
      <c r="CB32" s="41" t="n">
        <f aca="false">IF(N(Tasks[[#This Row],[Pred4 UID]])=0,0,IFERROR(MATCH(Tasks[[#This Row],[Pred4 UID]],Tasks[UID],0),-1))</f>
        <v>0</v>
      </c>
      <c r="CC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2" s="101" t="n">
        <f aca="false">IF(OR(Tasks[[#This Row],[_ConstraintCode]]=2,Tasks[[#This Row],[_ConstraintCode]]=3,Tasks[[#This Row],[_ConstraintCode]]=4,Tasks[[#This Row],[_ConstraintCode]]=6),Tasks[[#This Row],[_ConstraintStart]],0)</f>
        <v>0</v>
      </c>
      <c r="CF32" s="101" t="n">
        <f aca="false">IF(OR(Tasks[[#This Row],[_ConstraintCode]]=2,Tasks[[#This Row],[_ConstraintCode]]=3,Tasks[[#This Row],[_ConstraintCode]]=5,Tasks[[#This Row],[_ConstraintCode]]=7),Tasks[[#This Row],[_ConstraintStart]],2958465)</f>
        <v>2958465</v>
      </c>
      <c r="CG3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2" s="101" t="str">
        <f aca="false">IF(NOT(Tasks[[#This Row],[_IsLeaf]]=1),"",IF(N(Tasks[[#This Row],[Duration]])&lt;=0,Tasks[[#This Row],[_LeafCalcStart]],WORKDAY.INTL(Tasks[[#This Row],[_LeafCalcStart]],Tasks[[#This Row],[Duration]]-1,WorkWeek,Holidays)))</f>
        <v/>
      </c>
      <c r="CI3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2" s="41" t="n">
        <f aca="false">IF(NOT(Tasks[[#This Row],[_IsLeaf]]=1),0,IF(N(Tasks[[#This Row],[Actual Finish]])&gt;0,1,MIN(1,N(Tasks[[#This Row],[% Complete]]))))</f>
        <v>0</v>
      </c>
      <c r="CL32" s="41" t="n">
        <f aca="false">IF(OR(NOT(Tasks[[#This Row],[_IsLeaf]]=1),Tasks[[#This Row],[Resource]]=""),0,N(Tasks[[#This Row],[Duration]])*HoursPerDay*IF(Tasks[[#This Row],[Units]]="",DefaultUnits,Tasks[[#This Row],[Units]]))</f>
        <v>0</v>
      </c>
      <c r="CM32" s="41" t="n">
        <f aca="false">IF(Tasks[[#This Row],[_LeafWork]]=0,0,Tasks[[#This Row],[_LeafWork]]*IFERROR(INDEX(res_Rate,MATCH(Tasks[[#This Row],[Resource]],res_Name,0)),0))</f>
        <v>0</v>
      </c>
      <c r="CN32" s="41" t="n">
        <f aca="false">Tasks[[#This Row],[_LeafWork]]+IF(Tasks[[#This Row],[_IsLeaf]]=1,SUMIFS(asg_Work,asg_TaskUID,Tasks[[#This Row],[UID]],asg_Valid,1),0)</f>
        <v>0</v>
      </c>
      <c r="CO32" s="41" t="n">
        <f aca="false">Tasks[[#This Row],[_LeafCost]]+IF(Tasks[[#This Row],[_IsLeaf]]=1,SUMIFS(asg_Cost,asg_TaskUID,Tasks[[#This Row],[UID]],asg_Valid,1),0)</f>
        <v>0</v>
      </c>
      <c r="CP32" s="41" t="n">
        <f aca="false">IF(Tasks[[#This Row],[_LeafTotalCost]]=0,Tasks[[#This Row],[_LeafAC]],Tasks[[#This Row],[_LeafAC]]*Tasks[[#This Row],[_LeafCost]]/Tasks[[#This Row],[_LeafTotalCost]])</f>
        <v>0</v>
      </c>
      <c r="CQ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2" s="41" t="n">
        <f aca="false">IF(NOT(Tasks[[#This Row],[_IsLeaf]]=1),0,MAX(_xlfn.MAXIFS(Tasks[_Row],Tasks[Pred1 UID],Tasks[[#This Row],[UID]]),_xlfn.MAXIFS(Tasks[_Row],Tasks[Pred2 UID],Tasks[[#This Row],[UID]]),_xlfn.MAXIFS(Tasks[_Row],Tasks[Pred3 UID],Tasks[[#This Row],[UID]]),_xlfn.MAXIFS(Tasks[_Row],Tasks[Pred4 UID],Tasks[[#This Row],[UID]])))</f>
        <v>0</v>
      </c>
      <c r="CZ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2" s="101" t="str">
        <f aca="false">IF(NOT(Tasks[[#This Row],[_IsLeaf]]=1),"",IF(N(Tasks[[#This Row],[Duration]])&lt;=0,Tasks[[#This Row],[_LeafLateFinish]],WORKDAY.INTL(Tasks[[#This Row],[_LeafLateFinish]],-(Tasks[[#This Row],[Duration]]-1),WorkWeek,Holidays)))</f>
        <v/>
      </c>
      <c r="DC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2" s="100" t="b">
        <f aca="false">AND(Tasks[[#This Row],[_IsLeaf]]=1,Tasks[[#This Row],[_LeafProgress]]&lt;1,N(Tasks[[#This Row],[_LeafTotalSlack]])&lt;=CriticalSlackDays)</f>
        <v>0</v>
      </c>
      <c r="DE32" s="41" t="n">
        <f aca="false">IF(AND(Tasks[[#This Row],[_IsLeaf]]=1,Tasks[[#This Row],[_ConstraintCode]]=1,Tasks[[#This Row],[Mode]]&lt;&gt;"Manual",N(Tasks[[#This Row],[Actual Start]])=0),MAX(0,N(Tasks[[#This Row],[Free Slack]])),0)</f>
        <v>0</v>
      </c>
      <c r="DF32" s="101" t="str">
        <f aca="false">IF(NOT(Tasks[[#This Row],[_IsLeaf]]=1),"",IF(Tasks[[#This Row],[_AlapShift]]=0,Tasks[[#This Row],[_LeafCalcStart]],WORKDAY.INTL(Tasks[[#This Row],[_LeafCalcStart]],Tasks[[#This Row],[_AlapShift]],WorkWeek,Holidays)))</f>
        <v/>
      </c>
      <c r="DG32" s="101" t="str">
        <f aca="false">IF(NOT(Tasks[[#This Row],[_IsLeaf]]=1),"",IF(Tasks[[#This Row],[_AlapShift]]=0,Tasks[[#This Row],[_LeafCalcFinish]],WORKDAY.INTL(Tasks[[#This Row],[_LeafCalcFinish]],Tasks[[#This Row],[_AlapShift]],WorkWeek,Holidays)))</f>
        <v/>
      </c>
      <c r="DH32" s="101" t="str">
        <f aca="false">IF(NOT(Tasks[[#This Row],[_IsLeaf]]=1),"",IF(Tasks[[#This Row],[_AlapShift]]=0,Tasks[[#This Row],[_LeafFcstStart]],WORKDAY.INTL(Tasks[[#This Row],[_LeafFcstStart]],Tasks[[#This Row],[_AlapShift]],WorkWeek,Holidays)))</f>
        <v/>
      </c>
      <c r="DI32" s="101" t="str">
        <f aca="false">IF(NOT(Tasks[[#This Row],[_IsLeaf]]=1),"",IF(Tasks[[#This Row],[_AlapShift]]=0,Tasks[[#This Row],[_LeafFcstFinish]],WORKDAY.INTL(Tasks[[#This Row],[_LeafFcstFinish]],Tasks[[#This Row],[_AlapShift]],WorkWeek,Holidays)))</f>
        <v/>
      </c>
      <c r="DJ32" s="101" t="str">
        <f aca="false">IF(Tasks[[#This Row],[Task Name]]="","",IF(Tasks[[#This Row],[_IsSummary]],MIN(INDEX(Tasks[_ShownCalcStart],Tasks[[#This Row],[_Row]]+1):INDEX(Tasks[_ShownCalcStart],Tasks[[#This Row],[_Row]]+Tasks[[#This Row],[_Descendants]])),Tasks[[#This Row],[_ShownCalcStart]]))</f>
        <v/>
      </c>
      <c r="DK32" s="101" t="str">
        <f aca="false">IF(Tasks[[#This Row],[Task Name]]="","",IF(Tasks[[#This Row],[_IsSummary]],MAX(INDEX(Tasks[_ShownCalcFinish],Tasks[[#This Row],[_Row]]+1):INDEX(Tasks[_ShownCalcFinish],Tasks[[#This Row],[_Row]]+Tasks[[#This Row],[_Descendants]])),Tasks[[#This Row],[_ShownCalcFinish]]))</f>
        <v/>
      </c>
      <c r="D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2" s="41" t="n">
        <f aca="false">IF(AND(Tasks[[#This Row],[_IsLeaf]]=1,Tasks[[#This Row],[_LeafTotalWork]]&gt;0),NETWORKDAYS.INTL(ProjectStart,Tasks[[#This Row],[_ShownFcstStart]],WorkWeek,Holidays),0)</f>
        <v>0</v>
      </c>
      <c r="DY32" s="41" t="n">
        <f aca="false">IF(AND(Tasks[[#This Row],[_IsLeaf]]=1,Tasks[[#This Row],[_LeafTotalWork]]&gt;0),MAX(Tasks[[#This Row],[_StartWorkday]],NETWORKDAYS.INTL(ProjectStart,Tasks[[#This Row],[_ShownFcstFinish]],WorkWeek,Holidays)),0)</f>
        <v>0</v>
      </c>
      <c r="DZ32" s="41" t="n">
        <f aca="false">IF(AND(Tasks[[#This Row],[_IsLeaf]]=1,Tasks[[#This Row],[_LeafTotalWork]]&gt;0),Tasks[[#This Row],[_LeafWork]]/(Tasks[[#This Row],[_FinishWorkday]]-Tasks[[#This Row],[_StartWorkday]]+1),0)</f>
        <v>0</v>
      </c>
      <c r="EA32" s="41" t="n">
        <f aca="false">Tasks[[#This Row],[_WorkPerWorkday]]*(Tasks[[#This Row],[_StartWorkday]]-1)</f>
        <v>-0</v>
      </c>
      <c r="EB32" s="41" t="n">
        <f aca="false">IF(Tasks[[#This Row],[_IsLeaf]]=1,MAX(N(Tasks[[#This Row],[Duration]]),0.1),0)</f>
        <v>0</v>
      </c>
      <c r="EC32" s="41" t="n">
        <f aca="false">Tasks[[#This Row],[_WeightDur]]*Tasks[[#This Row],[_LeafProgress]]</f>
        <v>0</v>
      </c>
      <c r="ED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2" s="41" t="str">
        <f aca="false">IF(AND(Tasks[[#This Row],[_IsLeaf]]=1,N(Tasks[[#This Row],[Duration]])=0,Tasks[[#This Row],[_LeafProgress]]&lt;1),Tasks[[#This Row],[_ShownFcstFinish]]+Tasks[[#This Row],[_Row]]/100000,"")</f>
        <v/>
      </c>
      <c r="EF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2" s="41" t="n">
        <f aca="false">IF(NOT(Tasks[[#This Row],[_IsLeaf]]=1),0,IF(Tasks[[#This Row],[Baseline Cost]]="",Tasks[[#This Row],[_LeafTotalCost]],N(Tasks[[#This Row],[Baseline Cost]])))</f>
        <v>0</v>
      </c>
      <c r="EH32" s="41" t="n">
        <f aca="false">Tasks[[#This Row],[_LeafBudget]]*Tasks[[#This Row],[_PlannedPct]]</f>
        <v>0</v>
      </c>
      <c r="EI32" s="41" t="n">
        <f aca="false">Tasks[[#This Row],[_LeafBudget]]*Tasks[[#This Row],[_LeafProgress]]</f>
        <v>0</v>
      </c>
      <c r="EJ32" s="41" t="n">
        <f aca="false">IF(NOT(Tasks[[#This Row],[_IsLeaf]]=1),0,IF(Tasks[[#This Row],[Actual Cost]]="",Tasks[[#This Row],[_LeafTotalCost]]*Tasks[[#This Row],[_LeafProgress]],N(Tasks[[#This Row],[Actual Cost]])))</f>
        <v>0</v>
      </c>
      <c r="EK32" s="41" t="str">
        <f aca="false">IF(Tasks[[#This Row],[Task Name]]="","",LEFT(Tasks[[#This Row],[WBS]],FIND(".",Tasks[[#This Row],[WBS]]&amp;".")-1))</f>
        <v/>
      </c>
      <c r="EL32" s="41" t="str">
        <f aca="false">IF(AND(Tasks[[#This Row],[Task Name]]&lt;&gt;"",Tasks[[#This Row],[_Level]]=1),Tasks[[#This Row],[_Row]],"")</f>
        <v/>
      </c>
      <c r="EM32" s="41" t="str">
        <f aca="false">IF(AND(Tasks[[#This Row],[_IsLeaf]]=1,N(Tasks[[#This Row],[Duration]])=0),Tasks[[#This Row],[Planned Finish]]+Tasks[[#This Row],[_Row]]/100000,"")</f>
        <v/>
      </c>
      <c r="EN32" s="41" t="str">
        <f aca="false">IF(AND(Tasks[[#This Row],[_IsLeaf]]=1,Tasks[[#This Row],[_LeafProgress]]&lt;1,OR(N(Tasks[[#This Row],[Finish Var]])&gt;0,Tasks[[#This Row],[Status]]="Late Start")),MAX(0,Tasks[[#This Row],[Finish Var]])+1-Tasks[[#This Row],[_Row]]/1000000,"")</f>
        <v/>
      </c>
      <c r="EO32" s="41" t="str">
        <f aca="false">IF(AND(Tasks[[#This Row],[_IsLeaf]]=1,N(Tasks[[#This Row],[Actual Start]])=0,Tasks[[#This Row],[_ShownFcstStart]]&gt;=StatusDate,Tasks[[#This Row],[_ShownFcstStart]]&lt;=LookaheadEnd),Tasks[[#This Row],[_ShownFcstStart]]+Tasks[[#This Row],[_Row]]/100000,"")</f>
        <v/>
      </c>
      <c r="EP32" s="41" t="str">
        <f aca="false">IF(AND(Tasks[[#This Row],[_IsLeaf]]=1,Tasks[[#This Row],[_LeafProgress]]&lt;1,Tasks[[#This Row],[_ShownFcstFinish]]&gt;=StatusDate,Tasks[[#This Row],[_ShownFcstFinish]]&lt;=LookaheadEnd),Tasks[[#This Row],[_ShownFcstFinish]]+Tasks[[#This Row],[_Row]]/100000,"")</f>
        <v/>
      </c>
      <c r="EQ32" s="41" t="str">
        <f aca="false">IF(Tasks[[#This Row],[_LeafCritical]],Tasks[[#This Row],[_ShownFcstStart]]+Tasks[[#This Row],[_Row]]/100000,"")</f>
        <v/>
      </c>
      <c r="ER32" s="41" t="n">
        <f aca="false">Tasks[[#This Row],[_LeafWork]]*Tasks[[#This Row],[_LeafProgress]]</f>
        <v>0</v>
      </c>
      <c r="ES32" s="101" t="str">
        <f aca="false">IF(AND(Tasks[[#This Row],[_IsLeaf]]=1,Tasks[[#This Row],[_LeafProgress]]&gt;=1),IF(N(Tasks[[#This Row],[Actual Finish]])&gt;0,Tasks[[#This Row],[Actual Finish]],Tasks[[#This Row],[_ShownFcstFinish]]),"")</f>
        <v/>
      </c>
      <c r="ET32" s="41" t="n">
        <f aca="false">IF(Tasks[[#This Row],[_IsLeaf]]=1,N(Tasks[[#This Row],[Story Points]]),0)</f>
        <v>0</v>
      </c>
      <c r="EU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29"/>
      <c r="O33" s="29"/>
      <c r="P33" s="29"/>
      <c r="Q33" s="29"/>
      <c r="R33" s="29"/>
      <c r="S33" s="29"/>
      <c r="T33" s="30"/>
      <c r="U33" s="75"/>
      <c r="V33" s="75"/>
      <c r="W33" s="25" t="str">
        <f aca="false">IF(Tasks[[#This Row],[Task Name]]="","",IF(N(Tasks[[#This Row],[Baseline Start]])&gt;0,Tasks[[#This Row],[Baseline Start]],Tasks[[#This Row],[_CalcStart]]))</f>
        <v/>
      </c>
      <c r="X33" s="25" t="str">
        <f aca="false">IF(Tasks[[#This Row],[Task Name]]="","",IF(N(Tasks[[#This Row],[Baseline Finish]])&gt;0,Tasks[[#This Row],[Baseline Finish]],Tasks[[#This Row],[_CalcFinish]]))</f>
        <v/>
      </c>
      <c r="Y33" s="75"/>
      <c r="Z33" s="75"/>
      <c r="AA33" s="25" t="str">
        <f aca="false">IF(Tasks[[#This Row],[Task Name]]="","",IF(Tasks[[#This Row],[_IsSummary]],MIN(INDEX(Tasks[_ShownFcstStart],Tasks[[#This Row],[_Row]]+1):INDEX(Tasks[_ShownFcstStart],Tasks[[#This Row],[_Row]]+Tasks[[#This Row],[_Descendants]])),Tasks[[#This Row],[_ShownFcstStart]]))</f>
        <v/>
      </c>
      <c r="AB33" s="25" t="str">
        <f aca="false">IF(Tasks[[#This Row],[Task Name]]="","",IF(Tasks[[#This Row],[_IsSummary]],MAX(INDEX(Tasks[_ShownFcstFinish],Tasks[[#This Row],[_Row]]+1):INDEX(Tasks[_ShownFcstFinish],Tasks[[#This Row],[_Row]]+Tasks[[#This Row],[_Descendants]])),Tasks[[#This Row],[_ShownFcstFinish]]))</f>
        <v/>
      </c>
      <c r="AC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3" s="25" t="str">
        <f aca="false">IF(Tasks[[#This Row],[Task Name]]="","",IF(Tasks[[#This Row],[_IsSummary]],MIN(INDEX(Tasks[_LeafLateStart],Tasks[[#This Row],[_Row]]+1):INDEX(Tasks[_LeafLateStart],Tasks[[#This Row],[_Row]]+Tasks[[#This Row],[_Descendants]])),Tasks[[#This Row],[_LeafLateStart]]))</f>
        <v/>
      </c>
      <c r="AF33" s="25" t="str">
        <f aca="false">IF(Tasks[[#This Row],[Task Name]]="","",IF(Tasks[[#This Row],[_IsSummary]],MAX(INDEX(Tasks[_LeafLateFinish],Tasks[[#This Row],[_Row]]+1):INDEX(Tasks[_LeafLateFinish],Tasks[[#This Row],[_Row]]+Tasks[[#This Row],[_Descendants]])),Tasks[[#This Row],[_LeafLateFinish]]))</f>
        <v/>
      </c>
      <c r="AG33" s="28" t="str">
        <f aca="false">IF(Tasks[[#This Row],[Task Name]]="","",IF(Tasks[[#This Row],[_IsSummary]],MIN(INDEX(Tasks[_LeafTotalSlack],Tasks[[#This Row],[_Row]]+1):INDEX(Tasks[_LeafTotalSlack],Tasks[[#This Row],[_Row]]+Tasks[[#This Row],[_Descendants]])),Tasks[[#This Row],[_LeafTotalSlack]]))</f>
        <v/>
      </c>
      <c r="AH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3" s="28" t="str">
        <f aca="false">IF(Tasks[[#This Row],[Task Name]]="","",IF(IF(Tasks[[#This Row],[_IsSummary]],COUNTIF(INDEX(Tasks[_LeafCritical],Tasks[[#This Row],[_Row]]+1):INDEX(Tasks[_LeafCritical],Tasks[[#This Row],[_Row]]+Tasks[[#This Row],[_Descendants]]),TRUE())&gt;0,Tasks[[#This Row],[_LeafCritical]]),"Yes",""))</f>
        <v/>
      </c>
      <c r="AJ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3" s="89"/>
      <c r="AM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3" s="28" t="str">
        <f aca="false">IF(Tasks[[#This Row],[Task Name]]="","",IF(Tasks[[#This Row],[Progress]]&gt;=1,"Complete",IF(OR(N(Tasks[[#This Row],[Actual Start]])&gt;0,Tasks[[#This Row],[Progress]]&gt;0),IF(Tasks[[#This Row],[Finish Var]]&gt;0,"Behind","In Progress"),IF(Tasks[[#This Row],[Planned Start]]&lt;StatusDate,"Late Start","Not Started"))))</f>
        <v/>
      </c>
      <c r="AO33" s="30"/>
      <c r="AP33" s="89"/>
      <c r="AQ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3" s="96" t="str">
        <f aca="false">IF(Tasks[[#This Row],[Task Name]]="","",IF(Tasks[[#This Row],[_IsSummary]],SUM(INDEX(Tasks[_LeafTotalWork],Tasks[[#This Row],[_Row]]+1):INDEX(Tasks[_LeafTotalWork],Tasks[[#This Row],[_Row]]+Tasks[[#This Row],[_Descendants]])),Tasks[[#This Row],[_LeafTotalWork]]))</f>
        <v/>
      </c>
      <c r="AT33" s="97" t="str">
        <f aca="false">IF(Tasks[[#This Row],[Task Name]]="","",IF(Tasks[[#This Row],[_IsSummary]],SUM(INDEX(Tasks[_LeafTotalCost],Tasks[[#This Row],[_Row]]+1):INDEX(Tasks[_LeafTotalCost],Tasks[[#This Row],[_Row]]+Tasks[[#This Row],[_Descendants]])),Tasks[[#This Row],[_LeafTotalCost]]))</f>
        <v/>
      </c>
      <c r="AU33" s="98"/>
      <c r="AV33" s="29"/>
      <c r="AW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3" s="83"/>
      <c r="AY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3" s="30"/>
      <c r="BA33" s="25" t="str">
        <f aca="false">IF(Tasks[[#This Row],[Task Name]]="","",Tasks[[#This Row],[Forecast Start]])</f>
        <v/>
      </c>
      <c r="BB33" s="25" t="str">
        <f aca="false">IF(Tasks[[#This Row],[Task Name]]="","",Tasks[[#This Row],[Forecast Finish]])</f>
        <v/>
      </c>
      <c r="BC33" s="28" t="str">
        <f aca="false">IF(Tasks[[#This Row],[Task Name]]="","",IF(Tasks[[#This Row],[_IsSummary]],NETWORKDAYS.INTL(Tasks[[#This Row],[Forecast Start]],Tasks[[#This Row],[Forecast Finish]],WorkWeek,Holidays),N(Tasks[[#This Row],[Duration]])))</f>
        <v/>
      </c>
      <c r="BD33" s="96" t="str">
        <f aca="false">IF(Tasks[[#This Row],[Task Name]]="","",Tasks[[#This Row],[Work]])</f>
        <v/>
      </c>
      <c r="BE33" s="97" t="str">
        <f aca="false">IF(Tasks[[#This Row],[Task Name]]="","",Tasks[[#This Row],[Cost]])</f>
        <v/>
      </c>
      <c r="BF33" s="75"/>
      <c r="BG33" s="75"/>
      <c r="BH33" s="29"/>
      <c r="BI33" s="99"/>
      <c r="BJ33" s="98"/>
      <c r="BK33" s="28" t="str">
        <f aca="false">IF(OR(Tasks[[#This Row],[Task Name]]="",Tasks[[#This Row],[Baseline Duration]]=""),"",Tasks[[#This Row],[BL Source Duration]]-N(Tasks[[#This Row],[Baseline Duration]]))</f>
        <v/>
      </c>
      <c r="BL33" s="96" t="str">
        <f aca="false">IF(OR(Tasks[[#This Row],[Task Name]]="",Tasks[[#This Row],[Baseline Work]]=""),"",Tasks[[#This Row],[Work]]-N(Tasks[[#This Row],[Baseline Work]]))</f>
        <v/>
      </c>
      <c r="BM33" s="97" t="str">
        <f aca="false">IF(OR(Tasks[[#This Row],[Task Name]]="",Tasks[[#This Row],[Baseline Cost]]=""),"",Tasks[[#This Row],[Cost]]-N(Tasks[[#This Row],[Baseline Cost]]))</f>
        <v/>
      </c>
      <c r="BN33" s="97" t="str">
        <f aca="false">IF(Tasks[[#This Row],[Task Name]]="","",IF(Tasks[[#This Row],[_IsSummary]],SUM(INDEX(Tasks[_LeafBudget],Tasks[[#This Row],[_Row]]+1):INDEX(Tasks[_LeafBudget],Tasks[[#This Row],[_Row]]+Tasks[[#This Row],[_Descendants]])),Tasks[[#This Row],[_LeafBudget]]))</f>
        <v/>
      </c>
      <c r="BO33" s="97" t="str">
        <f aca="false">IF(Tasks[[#This Row],[Task Name]]="","",IF(Tasks[[#This Row],[_IsSummary]],SUM(INDEX(Tasks[_LeafPV],Tasks[[#This Row],[_Row]]+1):INDEX(Tasks[_LeafPV],Tasks[[#This Row],[_Row]]+Tasks[[#This Row],[_Descendants]])),Tasks[[#This Row],[_LeafPV]]))</f>
        <v/>
      </c>
      <c r="BP33" s="97" t="str">
        <f aca="false">IF(Tasks[[#This Row],[Task Name]]="","",IF(Tasks[[#This Row],[_IsSummary]],SUM(INDEX(Tasks[_LeafEV],Tasks[[#This Row],[_Row]]+1):INDEX(Tasks[_LeafEV],Tasks[[#This Row],[_Row]]+Tasks[[#This Row],[_Descendants]])),Tasks[[#This Row],[_LeafEV]]))</f>
        <v/>
      </c>
      <c r="BQ33" s="97" t="str">
        <f aca="false">IF(Tasks[[#This Row],[Task Name]]="","",IF(Tasks[[#This Row],[_IsSummary]],SUM(INDEX(Tasks[_LeafAC],Tasks[[#This Row],[_Row]]+1):INDEX(Tasks[_LeafAC],Tasks[[#This Row],[_Row]]+Tasks[[#This Row],[_Descendants]])),Tasks[[#This Row],[_LeafAC]]))</f>
        <v/>
      </c>
      <c r="BR33" s="41" t="str">
        <f aca="false">IF(Tasks[[#This Row],[Task Name]]="","",MAX(1,N(Tasks[[#This Row],[Level]])))</f>
        <v/>
      </c>
      <c r="BS33" s="41" t="n">
        <f aca="false">ROW()-ROW(Tasks[[#Headers],[ID]])</f>
        <v>28</v>
      </c>
      <c r="BT33" s="41" t="n">
        <f aca="false">IF(OR(Tasks[[#This Row],[Task Name]]="",Tasks[[#This Row],[_Level]]&lt;=1),0,IFERROR(LOOKUP(2,1/(Tasks[[#Headers],[_Level]]:Tasks[[#This Row],[_Level]]=Tasks[[#This Row],[_Level]]-1),ROW(Tasks[[#Headers],[_Level]]:Tasks[[#This Row],[_Level]])),0))</f>
        <v>0</v>
      </c>
      <c r="BU33" s="41" t="n">
        <f aca="false">IFERROR(N(INDEX(Tasks[_Level],Tasks[[#This Row],[_Row]]+1)),0)</f>
        <v>0</v>
      </c>
      <c r="BV33" s="100" t="b">
        <f aca="false">AND(Tasks[[#This Row],[Task Name]]&lt;&gt;"",Tasks[[#This Row],[_NextLevel]]&gt;Tasks[[#This Row],[_Level]])</f>
        <v>0</v>
      </c>
      <c r="BW33" s="41" t="n">
        <f aca="false">IF(Tasks[[#This Row],[_IsSummary]],COUNTIF(Tasks[WBS],Tasks[[#This Row],[WBS]]&amp;".*"),0)</f>
        <v>0</v>
      </c>
      <c r="BX33" s="41" t="n">
        <f aca="false">IF(AND(Tasks[[#This Row],[Task Name]]&lt;&gt;"",NOT(Tasks[[#This Row],[_IsSummary]])),1,0)</f>
        <v>0</v>
      </c>
      <c r="BY33" s="41" t="n">
        <f aca="false">IF(N(Tasks[[#This Row],[Pred1 UID]])=0,0,IFERROR(MATCH(Tasks[[#This Row],[Pred1 UID]],Tasks[UID],0),-1))</f>
        <v>0</v>
      </c>
      <c r="BZ33" s="41" t="n">
        <f aca="false">IF(N(Tasks[[#This Row],[Pred2 UID]])=0,0,IFERROR(MATCH(Tasks[[#This Row],[Pred2 UID]],Tasks[UID],0),-1))</f>
        <v>0</v>
      </c>
      <c r="CA33" s="41" t="n">
        <f aca="false">IF(N(Tasks[[#This Row],[Pred3 UID]])=0,0,IFERROR(MATCH(Tasks[[#This Row],[Pred3 UID]],Tasks[UID],0),-1))</f>
        <v>0</v>
      </c>
      <c r="CB33" s="41" t="n">
        <f aca="false">IF(N(Tasks[[#This Row],[Pred4 UID]])=0,0,IFERROR(MATCH(Tasks[[#This Row],[Pred4 UID]],Tasks[UID],0),-1))</f>
        <v>0</v>
      </c>
      <c r="CC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3" s="101" t="n">
        <f aca="false">IF(OR(Tasks[[#This Row],[_ConstraintCode]]=2,Tasks[[#This Row],[_ConstraintCode]]=3,Tasks[[#This Row],[_ConstraintCode]]=4,Tasks[[#This Row],[_ConstraintCode]]=6),Tasks[[#This Row],[_ConstraintStart]],0)</f>
        <v>0</v>
      </c>
      <c r="CF33" s="101" t="n">
        <f aca="false">IF(OR(Tasks[[#This Row],[_ConstraintCode]]=2,Tasks[[#This Row],[_ConstraintCode]]=3,Tasks[[#This Row],[_ConstraintCode]]=5,Tasks[[#This Row],[_ConstraintCode]]=7),Tasks[[#This Row],[_ConstraintStart]],2958465)</f>
        <v>2958465</v>
      </c>
      <c r="CG3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3" s="101" t="str">
        <f aca="false">IF(NOT(Tasks[[#This Row],[_IsLeaf]]=1),"",IF(N(Tasks[[#This Row],[Duration]])&lt;=0,Tasks[[#This Row],[_LeafCalcStart]],WORKDAY.INTL(Tasks[[#This Row],[_LeafCalcStart]],Tasks[[#This Row],[Duration]]-1,WorkWeek,Holidays)))</f>
        <v/>
      </c>
      <c r="CI3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3" s="41" t="n">
        <f aca="false">IF(NOT(Tasks[[#This Row],[_IsLeaf]]=1),0,IF(N(Tasks[[#This Row],[Actual Finish]])&gt;0,1,MIN(1,N(Tasks[[#This Row],[% Complete]]))))</f>
        <v>0</v>
      </c>
      <c r="CL33" s="41" t="n">
        <f aca="false">IF(OR(NOT(Tasks[[#This Row],[_IsLeaf]]=1),Tasks[[#This Row],[Resource]]=""),0,N(Tasks[[#This Row],[Duration]])*HoursPerDay*IF(Tasks[[#This Row],[Units]]="",DefaultUnits,Tasks[[#This Row],[Units]]))</f>
        <v>0</v>
      </c>
      <c r="CM33" s="41" t="n">
        <f aca="false">IF(Tasks[[#This Row],[_LeafWork]]=0,0,Tasks[[#This Row],[_LeafWork]]*IFERROR(INDEX(res_Rate,MATCH(Tasks[[#This Row],[Resource]],res_Name,0)),0))</f>
        <v>0</v>
      </c>
      <c r="CN33" s="41" t="n">
        <f aca="false">Tasks[[#This Row],[_LeafWork]]+IF(Tasks[[#This Row],[_IsLeaf]]=1,SUMIFS(asg_Work,asg_TaskUID,Tasks[[#This Row],[UID]],asg_Valid,1),0)</f>
        <v>0</v>
      </c>
      <c r="CO33" s="41" t="n">
        <f aca="false">Tasks[[#This Row],[_LeafCost]]+IF(Tasks[[#This Row],[_IsLeaf]]=1,SUMIFS(asg_Cost,asg_TaskUID,Tasks[[#This Row],[UID]],asg_Valid,1),0)</f>
        <v>0</v>
      </c>
      <c r="CP33" s="41" t="n">
        <f aca="false">IF(Tasks[[#This Row],[_LeafTotalCost]]=0,Tasks[[#This Row],[_LeafAC]],Tasks[[#This Row],[_LeafAC]]*Tasks[[#This Row],[_LeafCost]]/Tasks[[#This Row],[_LeafTotalCost]])</f>
        <v>0</v>
      </c>
      <c r="CQ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3" s="41" t="n">
        <f aca="false">IF(NOT(Tasks[[#This Row],[_IsLeaf]]=1),0,MAX(_xlfn.MAXIFS(Tasks[_Row],Tasks[Pred1 UID],Tasks[[#This Row],[UID]]),_xlfn.MAXIFS(Tasks[_Row],Tasks[Pred2 UID],Tasks[[#This Row],[UID]]),_xlfn.MAXIFS(Tasks[_Row],Tasks[Pred3 UID],Tasks[[#This Row],[UID]]),_xlfn.MAXIFS(Tasks[_Row],Tasks[Pred4 UID],Tasks[[#This Row],[UID]])))</f>
        <v>0</v>
      </c>
      <c r="CZ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3" s="101" t="str">
        <f aca="false">IF(NOT(Tasks[[#This Row],[_IsLeaf]]=1),"",IF(N(Tasks[[#This Row],[Duration]])&lt;=0,Tasks[[#This Row],[_LeafLateFinish]],WORKDAY.INTL(Tasks[[#This Row],[_LeafLateFinish]],-(Tasks[[#This Row],[Duration]]-1),WorkWeek,Holidays)))</f>
        <v/>
      </c>
      <c r="DC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3" s="100" t="b">
        <f aca="false">AND(Tasks[[#This Row],[_IsLeaf]]=1,Tasks[[#This Row],[_LeafProgress]]&lt;1,N(Tasks[[#This Row],[_LeafTotalSlack]])&lt;=CriticalSlackDays)</f>
        <v>0</v>
      </c>
      <c r="DE33" s="41" t="n">
        <f aca="false">IF(AND(Tasks[[#This Row],[_IsLeaf]]=1,Tasks[[#This Row],[_ConstraintCode]]=1,Tasks[[#This Row],[Mode]]&lt;&gt;"Manual",N(Tasks[[#This Row],[Actual Start]])=0),MAX(0,N(Tasks[[#This Row],[Free Slack]])),0)</f>
        <v>0</v>
      </c>
      <c r="DF33" s="101" t="str">
        <f aca="false">IF(NOT(Tasks[[#This Row],[_IsLeaf]]=1),"",IF(Tasks[[#This Row],[_AlapShift]]=0,Tasks[[#This Row],[_LeafCalcStart]],WORKDAY.INTL(Tasks[[#This Row],[_LeafCalcStart]],Tasks[[#This Row],[_AlapShift]],WorkWeek,Holidays)))</f>
        <v/>
      </c>
      <c r="DG33" s="101" t="str">
        <f aca="false">IF(NOT(Tasks[[#This Row],[_IsLeaf]]=1),"",IF(Tasks[[#This Row],[_AlapShift]]=0,Tasks[[#This Row],[_LeafCalcFinish]],WORKDAY.INTL(Tasks[[#This Row],[_LeafCalcFinish]],Tasks[[#This Row],[_AlapShift]],WorkWeek,Holidays)))</f>
        <v/>
      </c>
      <c r="DH33" s="101" t="str">
        <f aca="false">IF(NOT(Tasks[[#This Row],[_IsLeaf]]=1),"",IF(Tasks[[#This Row],[_AlapShift]]=0,Tasks[[#This Row],[_LeafFcstStart]],WORKDAY.INTL(Tasks[[#This Row],[_LeafFcstStart]],Tasks[[#This Row],[_AlapShift]],WorkWeek,Holidays)))</f>
        <v/>
      </c>
      <c r="DI33" s="101" t="str">
        <f aca="false">IF(NOT(Tasks[[#This Row],[_IsLeaf]]=1),"",IF(Tasks[[#This Row],[_AlapShift]]=0,Tasks[[#This Row],[_LeafFcstFinish]],WORKDAY.INTL(Tasks[[#This Row],[_LeafFcstFinish]],Tasks[[#This Row],[_AlapShift]],WorkWeek,Holidays)))</f>
        <v/>
      </c>
      <c r="DJ33" s="101" t="str">
        <f aca="false">IF(Tasks[[#This Row],[Task Name]]="","",IF(Tasks[[#This Row],[_IsSummary]],MIN(INDEX(Tasks[_ShownCalcStart],Tasks[[#This Row],[_Row]]+1):INDEX(Tasks[_ShownCalcStart],Tasks[[#This Row],[_Row]]+Tasks[[#This Row],[_Descendants]])),Tasks[[#This Row],[_ShownCalcStart]]))</f>
        <v/>
      </c>
      <c r="DK33" s="101" t="str">
        <f aca="false">IF(Tasks[[#This Row],[Task Name]]="","",IF(Tasks[[#This Row],[_IsSummary]],MAX(INDEX(Tasks[_ShownCalcFinish],Tasks[[#This Row],[_Row]]+1):INDEX(Tasks[_ShownCalcFinish],Tasks[[#This Row],[_Row]]+Tasks[[#This Row],[_Descendants]])),Tasks[[#This Row],[_ShownCalcFinish]]))</f>
        <v/>
      </c>
      <c r="D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3" s="41" t="n">
        <f aca="false">IF(AND(Tasks[[#This Row],[_IsLeaf]]=1,Tasks[[#This Row],[_LeafTotalWork]]&gt;0),NETWORKDAYS.INTL(ProjectStart,Tasks[[#This Row],[_ShownFcstStart]],WorkWeek,Holidays),0)</f>
        <v>0</v>
      </c>
      <c r="DY33" s="41" t="n">
        <f aca="false">IF(AND(Tasks[[#This Row],[_IsLeaf]]=1,Tasks[[#This Row],[_LeafTotalWork]]&gt;0),MAX(Tasks[[#This Row],[_StartWorkday]],NETWORKDAYS.INTL(ProjectStart,Tasks[[#This Row],[_ShownFcstFinish]],WorkWeek,Holidays)),0)</f>
        <v>0</v>
      </c>
      <c r="DZ33" s="41" t="n">
        <f aca="false">IF(AND(Tasks[[#This Row],[_IsLeaf]]=1,Tasks[[#This Row],[_LeafTotalWork]]&gt;0),Tasks[[#This Row],[_LeafWork]]/(Tasks[[#This Row],[_FinishWorkday]]-Tasks[[#This Row],[_StartWorkday]]+1),0)</f>
        <v>0</v>
      </c>
      <c r="EA33" s="41" t="n">
        <f aca="false">Tasks[[#This Row],[_WorkPerWorkday]]*(Tasks[[#This Row],[_StartWorkday]]-1)</f>
        <v>-0</v>
      </c>
      <c r="EB33" s="41" t="n">
        <f aca="false">IF(Tasks[[#This Row],[_IsLeaf]]=1,MAX(N(Tasks[[#This Row],[Duration]]),0.1),0)</f>
        <v>0</v>
      </c>
      <c r="EC33" s="41" t="n">
        <f aca="false">Tasks[[#This Row],[_WeightDur]]*Tasks[[#This Row],[_LeafProgress]]</f>
        <v>0</v>
      </c>
      <c r="ED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3" s="41" t="str">
        <f aca="false">IF(AND(Tasks[[#This Row],[_IsLeaf]]=1,N(Tasks[[#This Row],[Duration]])=0,Tasks[[#This Row],[_LeafProgress]]&lt;1),Tasks[[#This Row],[_ShownFcstFinish]]+Tasks[[#This Row],[_Row]]/100000,"")</f>
        <v/>
      </c>
      <c r="EF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3" s="41" t="n">
        <f aca="false">IF(NOT(Tasks[[#This Row],[_IsLeaf]]=1),0,IF(Tasks[[#This Row],[Baseline Cost]]="",Tasks[[#This Row],[_LeafTotalCost]],N(Tasks[[#This Row],[Baseline Cost]])))</f>
        <v>0</v>
      </c>
      <c r="EH33" s="41" t="n">
        <f aca="false">Tasks[[#This Row],[_LeafBudget]]*Tasks[[#This Row],[_PlannedPct]]</f>
        <v>0</v>
      </c>
      <c r="EI33" s="41" t="n">
        <f aca="false">Tasks[[#This Row],[_LeafBudget]]*Tasks[[#This Row],[_LeafProgress]]</f>
        <v>0</v>
      </c>
      <c r="EJ33" s="41" t="n">
        <f aca="false">IF(NOT(Tasks[[#This Row],[_IsLeaf]]=1),0,IF(Tasks[[#This Row],[Actual Cost]]="",Tasks[[#This Row],[_LeafTotalCost]]*Tasks[[#This Row],[_LeafProgress]],N(Tasks[[#This Row],[Actual Cost]])))</f>
        <v>0</v>
      </c>
      <c r="EK33" s="41" t="str">
        <f aca="false">IF(Tasks[[#This Row],[Task Name]]="","",LEFT(Tasks[[#This Row],[WBS]],FIND(".",Tasks[[#This Row],[WBS]]&amp;".")-1))</f>
        <v/>
      </c>
      <c r="EL33" s="41" t="str">
        <f aca="false">IF(AND(Tasks[[#This Row],[Task Name]]&lt;&gt;"",Tasks[[#This Row],[_Level]]=1),Tasks[[#This Row],[_Row]],"")</f>
        <v/>
      </c>
      <c r="EM33" s="41" t="str">
        <f aca="false">IF(AND(Tasks[[#This Row],[_IsLeaf]]=1,N(Tasks[[#This Row],[Duration]])=0),Tasks[[#This Row],[Planned Finish]]+Tasks[[#This Row],[_Row]]/100000,"")</f>
        <v/>
      </c>
      <c r="EN33" s="41" t="str">
        <f aca="false">IF(AND(Tasks[[#This Row],[_IsLeaf]]=1,Tasks[[#This Row],[_LeafProgress]]&lt;1,OR(N(Tasks[[#This Row],[Finish Var]])&gt;0,Tasks[[#This Row],[Status]]="Late Start")),MAX(0,Tasks[[#This Row],[Finish Var]])+1-Tasks[[#This Row],[_Row]]/1000000,"")</f>
        <v/>
      </c>
      <c r="EO33" s="41" t="str">
        <f aca="false">IF(AND(Tasks[[#This Row],[_IsLeaf]]=1,N(Tasks[[#This Row],[Actual Start]])=0,Tasks[[#This Row],[_ShownFcstStart]]&gt;=StatusDate,Tasks[[#This Row],[_ShownFcstStart]]&lt;=LookaheadEnd),Tasks[[#This Row],[_ShownFcstStart]]+Tasks[[#This Row],[_Row]]/100000,"")</f>
        <v/>
      </c>
      <c r="EP33" s="41" t="str">
        <f aca="false">IF(AND(Tasks[[#This Row],[_IsLeaf]]=1,Tasks[[#This Row],[_LeafProgress]]&lt;1,Tasks[[#This Row],[_ShownFcstFinish]]&gt;=StatusDate,Tasks[[#This Row],[_ShownFcstFinish]]&lt;=LookaheadEnd),Tasks[[#This Row],[_ShownFcstFinish]]+Tasks[[#This Row],[_Row]]/100000,"")</f>
        <v/>
      </c>
      <c r="EQ33" s="41" t="str">
        <f aca="false">IF(Tasks[[#This Row],[_LeafCritical]],Tasks[[#This Row],[_ShownFcstStart]]+Tasks[[#This Row],[_Row]]/100000,"")</f>
        <v/>
      </c>
      <c r="ER33" s="41" t="n">
        <f aca="false">Tasks[[#This Row],[_LeafWork]]*Tasks[[#This Row],[_LeafProgress]]</f>
        <v>0</v>
      </c>
      <c r="ES33" s="101" t="str">
        <f aca="false">IF(AND(Tasks[[#This Row],[_IsLeaf]]=1,Tasks[[#This Row],[_LeafProgress]]&gt;=1),IF(N(Tasks[[#This Row],[Actual Finish]])&gt;0,Tasks[[#This Row],[Actual Finish]],Tasks[[#This Row],[_ShownFcstFinish]]),"")</f>
        <v/>
      </c>
      <c r="ET33" s="41" t="n">
        <f aca="false">IF(Tasks[[#This Row],[_IsLeaf]]=1,N(Tasks[[#This Row],[Story Points]]),0)</f>
        <v>0</v>
      </c>
      <c r="EU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29"/>
      <c r="O34" s="29"/>
      <c r="P34" s="29"/>
      <c r="Q34" s="29"/>
      <c r="R34" s="29"/>
      <c r="S34" s="29"/>
      <c r="T34" s="30"/>
      <c r="U34" s="75"/>
      <c r="V34" s="75"/>
      <c r="W34" s="25" t="str">
        <f aca="false">IF(Tasks[[#This Row],[Task Name]]="","",IF(N(Tasks[[#This Row],[Baseline Start]])&gt;0,Tasks[[#This Row],[Baseline Start]],Tasks[[#This Row],[_CalcStart]]))</f>
        <v/>
      </c>
      <c r="X34" s="25" t="str">
        <f aca="false">IF(Tasks[[#This Row],[Task Name]]="","",IF(N(Tasks[[#This Row],[Baseline Finish]])&gt;0,Tasks[[#This Row],[Baseline Finish]],Tasks[[#This Row],[_CalcFinish]]))</f>
        <v/>
      </c>
      <c r="Y34" s="75"/>
      <c r="Z34" s="75"/>
      <c r="AA34" s="25" t="str">
        <f aca="false">IF(Tasks[[#This Row],[Task Name]]="","",IF(Tasks[[#This Row],[_IsSummary]],MIN(INDEX(Tasks[_ShownFcstStart],Tasks[[#This Row],[_Row]]+1):INDEX(Tasks[_ShownFcstStart],Tasks[[#This Row],[_Row]]+Tasks[[#This Row],[_Descendants]])),Tasks[[#This Row],[_ShownFcstStart]]))</f>
        <v/>
      </c>
      <c r="AB34" s="25" t="str">
        <f aca="false">IF(Tasks[[#This Row],[Task Name]]="","",IF(Tasks[[#This Row],[_IsSummary]],MAX(INDEX(Tasks[_ShownFcstFinish],Tasks[[#This Row],[_Row]]+1):INDEX(Tasks[_ShownFcstFinish],Tasks[[#This Row],[_Row]]+Tasks[[#This Row],[_Descendants]])),Tasks[[#This Row],[_ShownFcstFinish]]))</f>
        <v/>
      </c>
      <c r="AC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4" s="25" t="str">
        <f aca="false">IF(Tasks[[#This Row],[Task Name]]="","",IF(Tasks[[#This Row],[_IsSummary]],MIN(INDEX(Tasks[_LeafLateStart],Tasks[[#This Row],[_Row]]+1):INDEX(Tasks[_LeafLateStart],Tasks[[#This Row],[_Row]]+Tasks[[#This Row],[_Descendants]])),Tasks[[#This Row],[_LeafLateStart]]))</f>
        <v/>
      </c>
      <c r="AF34" s="25" t="str">
        <f aca="false">IF(Tasks[[#This Row],[Task Name]]="","",IF(Tasks[[#This Row],[_IsSummary]],MAX(INDEX(Tasks[_LeafLateFinish],Tasks[[#This Row],[_Row]]+1):INDEX(Tasks[_LeafLateFinish],Tasks[[#This Row],[_Row]]+Tasks[[#This Row],[_Descendants]])),Tasks[[#This Row],[_LeafLateFinish]]))</f>
        <v/>
      </c>
      <c r="AG34" s="28" t="str">
        <f aca="false">IF(Tasks[[#This Row],[Task Name]]="","",IF(Tasks[[#This Row],[_IsSummary]],MIN(INDEX(Tasks[_LeafTotalSlack],Tasks[[#This Row],[_Row]]+1):INDEX(Tasks[_LeafTotalSlack],Tasks[[#This Row],[_Row]]+Tasks[[#This Row],[_Descendants]])),Tasks[[#This Row],[_LeafTotalSlack]]))</f>
        <v/>
      </c>
      <c r="AH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4" s="28" t="str">
        <f aca="false">IF(Tasks[[#This Row],[Task Name]]="","",IF(IF(Tasks[[#This Row],[_IsSummary]],COUNTIF(INDEX(Tasks[_LeafCritical],Tasks[[#This Row],[_Row]]+1):INDEX(Tasks[_LeafCritical],Tasks[[#This Row],[_Row]]+Tasks[[#This Row],[_Descendants]]),TRUE())&gt;0,Tasks[[#This Row],[_LeafCritical]]),"Yes",""))</f>
        <v/>
      </c>
      <c r="AJ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4" s="89"/>
      <c r="AM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4" s="28" t="str">
        <f aca="false">IF(Tasks[[#This Row],[Task Name]]="","",IF(Tasks[[#This Row],[Progress]]&gt;=1,"Complete",IF(OR(N(Tasks[[#This Row],[Actual Start]])&gt;0,Tasks[[#This Row],[Progress]]&gt;0),IF(Tasks[[#This Row],[Finish Var]]&gt;0,"Behind","In Progress"),IF(Tasks[[#This Row],[Planned Start]]&lt;StatusDate,"Late Start","Not Started"))))</f>
        <v/>
      </c>
      <c r="AO34" s="30"/>
      <c r="AP34" s="89"/>
      <c r="AQ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4" s="96" t="str">
        <f aca="false">IF(Tasks[[#This Row],[Task Name]]="","",IF(Tasks[[#This Row],[_IsSummary]],SUM(INDEX(Tasks[_LeafTotalWork],Tasks[[#This Row],[_Row]]+1):INDEX(Tasks[_LeafTotalWork],Tasks[[#This Row],[_Row]]+Tasks[[#This Row],[_Descendants]])),Tasks[[#This Row],[_LeafTotalWork]]))</f>
        <v/>
      </c>
      <c r="AT34" s="97" t="str">
        <f aca="false">IF(Tasks[[#This Row],[Task Name]]="","",IF(Tasks[[#This Row],[_IsSummary]],SUM(INDEX(Tasks[_LeafTotalCost],Tasks[[#This Row],[_Row]]+1):INDEX(Tasks[_LeafTotalCost],Tasks[[#This Row],[_Row]]+Tasks[[#This Row],[_Descendants]])),Tasks[[#This Row],[_LeafTotalCost]]))</f>
        <v/>
      </c>
      <c r="AU34" s="98"/>
      <c r="AV34" s="29"/>
      <c r="AW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4" s="83"/>
      <c r="AY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4" s="30"/>
      <c r="BA34" s="25" t="str">
        <f aca="false">IF(Tasks[[#This Row],[Task Name]]="","",Tasks[[#This Row],[Forecast Start]])</f>
        <v/>
      </c>
      <c r="BB34" s="25" t="str">
        <f aca="false">IF(Tasks[[#This Row],[Task Name]]="","",Tasks[[#This Row],[Forecast Finish]])</f>
        <v/>
      </c>
      <c r="BC34" s="28" t="str">
        <f aca="false">IF(Tasks[[#This Row],[Task Name]]="","",IF(Tasks[[#This Row],[_IsSummary]],NETWORKDAYS.INTL(Tasks[[#This Row],[Forecast Start]],Tasks[[#This Row],[Forecast Finish]],WorkWeek,Holidays),N(Tasks[[#This Row],[Duration]])))</f>
        <v/>
      </c>
      <c r="BD34" s="96" t="str">
        <f aca="false">IF(Tasks[[#This Row],[Task Name]]="","",Tasks[[#This Row],[Work]])</f>
        <v/>
      </c>
      <c r="BE34" s="97" t="str">
        <f aca="false">IF(Tasks[[#This Row],[Task Name]]="","",Tasks[[#This Row],[Cost]])</f>
        <v/>
      </c>
      <c r="BF34" s="75"/>
      <c r="BG34" s="75"/>
      <c r="BH34" s="29"/>
      <c r="BI34" s="99"/>
      <c r="BJ34" s="98"/>
      <c r="BK34" s="28" t="str">
        <f aca="false">IF(OR(Tasks[[#This Row],[Task Name]]="",Tasks[[#This Row],[Baseline Duration]]=""),"",Tasks[[#This Row],[BL Source Duration]]-N(Tasks[[#This Row],[Baseline Duration]]))</f>
        <v/>
      </c>
      <c r="BL34" s="96" t="str">
        <f aca="false">IF(OR(Tasks[[#This Row],[Task Name]]="",Tasks[[#This Row],[Baseline Work]]=""),"",Tasks[[#This Row],[Work]]-N(Tasks[[#This Row],[Baseline Work]]))</f>
        <v/>
      </c>
      <c r="BM34" s="97" t="str">
        <f aca="false">IF(OR(Tasks[[#This Row],[Task Name]]="",Tasks[[#This Row],[Baseline Cost]]=""),"",Tasks[[#This Row],[Cost]]-N(Tasks[[#This Row],[Baseline Cost]]))</f>
        <v/>
      </c>
      <c r="BN34" s="97" t="str">
        <f aca="false">IF(Tasks[[#This Row],[Task Name]]="","",IF(Tasks[[#This Row],[_IsSummary]],SUM(INDEX(Tasks[_LeafBudget],Tasks[[#This Row],[_Row]]+1):INDEX(Tasks[_LeafBudget],Tasks[[#This Row],[_Row]]+Tasks[[#This Row],[_Descendants]])),Tasks[[#This Row],[_LeafBudget]]))</f>
        <v/>
      </c>
      <c r="BO34" s="97" t="str">
        <f aca="false">IF(Tasks[[#This Row],[Task Name]]="","",IF(Tasks[[#This Row],[_IsSummary]],SUM(INDEX(Tasks[_LeafPV],Tasks[[#This Row],[_Row]]+1):INDEX(Tasks[_LeafPV],Tasks[[#This Row],[_Row]]+Tasks[[#This Row],[_Descendants]])),Tasks[[#This Row],[_LeafPV]]))</f>
        <v/>
      </c>
      <c r="BP34" s="97" t="str">
        <f aca="false">IF(Tasks[[#This Row],[Task Name]]="","",IF(Tasks[[#This Row],[_IsSummary]],SUM(INDEX(Tasks[_LeafEV],Tasks[[#This Row],[_Row]]+1):INDEX(Tasks[_LeafEV],Tasks[[#This Row],[_Row]]+Tasks[[#This Row],[_Descendants]])),Tasks[[#This Row],[_LeafEV]]))</f>
        <v/>
      </c>
      <c r="BQ34" s="97" t="str">
        <f aca="false">IF(Tasks[[#This Row],[Task Name]]="","",IF(Tasks[[#This Row],[_IsSummary]],SUM(INDEX(Tasks[_LeafAC],Tasks[[#This Row],[_Row]]+1):INDEX(Tasks[_LeafAC],Tasks[[#This Row],[_Row]]+Tasks[[#This Row],[_Descendants]])),Tasks[[#This Row],[_LeafAC]]))</f>
        <v/>
      </c>
      <c r="BR34" s="41" t="str">
        <f aca="false">IF(Tasks[[#This Row],[Task Name]]="","",MAX(1,N(Tasks[[#This Row],[Level]])))</f>
        <v/>
      </c>
      <c r="BS34" s="41" t="n">
        <f aca="false">ROW()-ROW(Tasks[[#Headers],[ID]])</f>
        <v>29</v>
      </c>
      <c r="BT34" s="41" t="n">
        <f aca="false">IF(OR(Tasks[[#This Row],[Task Name]]="",Tasks[[#This Row],[_Level]]&lt;=1),0,IFERROR(LOOKUP(2,1/(Tasks[[#Headers],[_Level]]:Tasks[[#This Row],[_Level]]=Tasks[[#This Row],[_Level]]-1),ROW(Tasks[[#Headers],[_Level]]:Tasks[[#This Row],[_Level]])),0))</f>
        <v>0</v>
      </c>
      <c r="BU34" s="41" t="n">
        <f aca="false">IFERROR(N(INDEX(Tasks[_Level],Tasks[[#This Row],[_Row]]+1)),0)</f>
        <v>0</v>
      </c>
      <c r="BV34" s="100" t="b">
        <f aca="false">AND(Tasks[[#This Row],[Task Name]]&lt;&gt;"",Tasks[[#This Row],[_NextLevel]]&gt;Tasks[[#This Row],[_Level]])</f>
        <v>0</v>
      </c>
      <c r="BW34" s="41" t="n">
        <f aca="false">IF(Tasks[[#This Row],[_IsSummary]],COUNTIF(Tasks[WBS],Tasks[[#This Row],[WBS]]&amp;".*"),0)</f>
        <v>0</v>
      </c>
      <c r="BX34" s="41" t="n">
        <f aca="false">IF(AND(Tasks[[#This Row],[Task Name]]&lt;&gt;"",NOT(Tasks[[#This Row],[_IsSummary]])),1,0)</f>
        <v>0</v>
      </c>
      <c r="BY34" s="41" t="n">
        <f aca="false">IF(N(Tasks[[#This Row],[Pred1 UID]])=0,0,IFERROR(MATCH(Tasks[[#This Row],[Pred1 UID]],Tasks[UID],0),-1))</f>
        <v>0</v>
      </c>
      <c r="BZ34" s="41" t="n">
        <f aca="false">IF(N(Tasks[[#This Row],[Pred2 UID]])=0,0,IFERROR(MATCH(Tasks[[#This Row],[Pred2 UID]],Tasks[UID],0),-1))</f>
        <v>0</v>
      </c>
      <c r="CA34" s="41" t="n">
        <f aca="false">IF(N(Tasks[[#This Row],[Pred3 UID]])=0,0,IFERROR(MATCH(Tasks[[#This Row],[Pred3 UID]],Tasks[UID],0),-1))</f>
        <v>0</v>
      </c>
      <c r="CB34" s="41" t="n">
        <f aca="false">IF(N(Tasks[[#This Row],[Pred4 UID]])=0,0,IFERROR(MATCH(Tasks[[#This Row],[Pred4 UID]],Tasks[UID],0),-1))</f>
        <v>0</v>
      </c>
      <c r="CC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4" s="101" t="n">
        <f aca="false">IF(OR(Tasks[[#This Row],[_ConstraintCode]]=2,Tasks[[#This Row],[_ConstraintCode]]=3,Tasks[[#This Row],[_ConstraintCode]]=4,Tasks[[#This Row],[_ConstraintCode]]=6),Tasks[[#This Row],[_ConstraintStart]],0)</f>
        <v>0</v>
      </c>
      <c r="CF34" s="101" t="n">
        <f aca="false">IF(OR(Tasks[[#This Row],[_ConstraintCode]]=2,Tasks[[#This Row],[_ConstraintCode]]=3,Tasks[[#This Row],[_ConstraintCode]]=5,Tasks[[#This Row],[_ConstraintCode]]=7),Tasks[[#This Row],[_ConstraintStart]],2958465)</f>
        <v>2958465</v>
      </c>
      <c r="CG3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4" s="101" t="str">
        <f aca="false">IF(NOT(Tasks[[#This Row],[_IsLeaf]]=1),"",IF(N(Tasks[[#This Row],[Duration]])&lt;=0,Tasks[[#This Row],[_LeafCalcStart]],WORKDAY.INTL(Tasks[[#This Row],[_LeafCalcStart]],Tasks[[#This Row],[Duration]]-1,WorkWeek,Holidays)))</f>
        <v/>
      </c>
      <c r="CI3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4" s="41" t="n">
        <f aca="false">IF(NOT(Tasks[[#This Row],[_IsLeaf]]=1),0,IF(N(Tasks[[#This Row],[Actual Finish]])&gt;0,1,MIN(1,N(Tasks[[#This Row],[% Complete]]))))</f>
        <v>0</v>
      </c>
      <c r="CL34" s="41" t="n">
        <f aca="false">IF(OR(NOT(Tasks[[#This Row],[_IsLeaf]]=1),Tasks[[#This Row],[Resource]]=""),0,N(Tasks[[#This Row],[Duration]])*HoursPerDay*IF(Tasks[[#This Row],[Units]]="",DefaultUnits,Tasks[[#This Row],[Units]]))</f>
        <v>0</v>
      </c>
      <c r="CM34" s="41" t="n">
        <f aca="false">IF(Tasks[[#This Row],[_LeafWork]]=0,0,Tasks[[#This Row],[_LeafWork]]*IFERROR(INDEX(res_Rate,MATCH(Tasks[[#This Row],[Resource]],res_Name,0)),0))</f>
        <v>0</v>
      </c>
      <c r="CN34" s="41" t="n">
        <f aca="false">Tasks[[#This Row],[_LeafWork]]+IF(Tasks[[#This Row],[_IsLeaf]]=1,SUMIFS(asg_Work,asg_TaskUID,Tasks[[#This Row],[UID]],asg_Valid,1),0)</f>
        <v>0</v>
      </c>
      <c r="CO34" s="41" t="n">
        <f aca="false">Tasks[[#This Row],[_LeafCost]]+IF(Tasks[[#This Row],[_IsLeaf]]=1,SUMIFS(asg_Cost,asg_TaskUID,Tasks[[#This Row],[UID]],asg_Valid,1),0)</f>
        <v>0</v>
      </c>
      <c r="CP34" s="41" t="n">
        <f aca="false">IF(Tasks[[#This Row],[_LeafTotalCost]]=0,Tasks[[#This Row],[_LeafAC]],Tasks[[#This Row],[_LeafAC]]*Tasks[[#This Row],[_LeafCost]]/Tasks[[#This Row],[_LeafTotalCost]])</f>
        <v>0</v>
      </c>
      <c r="CQ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4" s="41" t="n">
        <f aca="false">IF(NOT(Tasks[[#This Row],[_IsLeaf]]=1),0,MAX(_xlfn.MAXIFS(Tasks[_Row],Tasks[Pred1 UID],Tasks[[#This Row],[UID]]),_xlfn.MAXIFS(Tasks[_Row],Tasks[Pred2 UID],Tasks[[#This Row],[UID]]),_xlfn.MAXIFS(Tasks[_Row],Tasks[Pred3 UID],Tasks[[#This Row],[UID]]),_xlfn.MAXIFS(Tasks[_Row],Tasks[Pred4 UID],Tasks[[#This Row],[UID]])))</f>
        <v>0</v>
      </c>
      <c r="CZ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4" s="101" t="str">
        <f aca="false">IF(NOT(Tasks[[#This Row],[_IsLeaf]]=1),"",IF(N(Tasks[[#This Row],[Duration]])&lt;=0,Tasks[[#This Row],[_LeafLateFinish]],WORKDAY.INTL(Tasks[[#This Row],[_LeafLateFinish]],-(Tasks[[#This Row],[Duration]]-1),WorkWeek,Holidays)))</f>
        <v/>
      </c>
      <c r="DC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4" s="100" t="b">
        <f aca="false">AND(Tasks[[#This Row],[_IsLeaf]]=1,Tasks[[#This Row],[_LeafProgress]]&lt;1,N(Tasks[[#This Row],[_LeafTotalSlack]])&lt;=CriticalSlackDays)</f>
        <v>0</v>
      </c>
      <c r="DE34" s="41" t="n">
        <f aca="false">IF(AND(Tasks[[#This Row],[_IsLeaf]]=1,Tasks[[#This Row],[_ConstraintCode]]=1,Tasks[[#This Row],[Mode]]&lt;&gt;"Manual",N(Tasks[[#This Row],[Actual Start]])=0),MAX(0,N(Tasks[[#This Row],[Free Slack]])),0)</f>
        <v>0</v>
      </c>
      <c r="DF34" s="101" t="str">
        <f aca="false">IF(NOT(Tasks[[#This Row],[_IsLeaf]]=1),"",IF(Tasks[[#This Row],[_AlapShift]]=0,Tasks[[#This Row],[_LeafCalcStart]],WORKDAY.INTL(Tasks[[#This Row],[_LeafCalcStart]],Tasks[[#This Row],[_AlapShift]],WorkWeek,Holidays)))</f>
        <v/>
      </c>
      <c r="DG34" s="101" t="str">
        <f aca="false">IF(NOT(Tasks[[#This Row],[_IsLeaf]]=1),"",IF(Tasks[[#This Row],[_AlapShift]]=0,Tasks[[#This Row],[_LeafCalcFinish]],WORKDAY.INTL(Tasks[[#This Row],[_LeafCalcFinish]],Tasks[[#This Row],[_AlapShift]],WorkWeek,Holidays)))</f>
        <v/>
      </c>
      <c r="DH34" s="101" t="str">
        <f aca="false">IF(NOT(Tasks[[#This Row],[_IsLeaf]]=1),"",IF(Tasks[[#This Row],[_AlapShift]]=0,Tasks[[#This Row],[_LeafFcstStart]],WORKDAY.INTL(Tasks[[#This Row],[_LeafFcstStart]],Tasks[[#This Row],[_AlapShift]],WorkWeek,Holidays)))</f>
        <v/>
      </c>
      <c r="DI34" s="101" t="str">
        <f aca="false">IF(NOT(Tasks[[#This Row],[_IsLeaf]]=1),"",IF(Tasks[[#This Row],[_AlapShift]]=0,Tasks[[#This Row],[_LeafFcstFinish]],WORKDAY.INTL(Tasks[[#This Row],[_LeafFcstFinish]],Tasks[[#This Row],[_AlapShift]],WorkWeek,Holidays)))</f>
        <v/>
      </c>
      <c r="DJ34" s="101" t="str">
        <f aca="false">IF(Tasks[[#This Row],[Task Name]]="","",IF(Tasks[[#This Row],[_IsSummary]],MIN(INDEX(Tasks[_ShownCalcStart],Tasks[[#This Row],[_Row]]+1):INDEX(Tasks[_ShownCalcStart],Tasks[[#This Row],[_Row]]+Tasks[[#This Row],[_Descendants]])),Tasks[[#This Row],[_ShownCalcStart]]))</f>
        <v/>
      </c>
      <c r="DK34" s="101" t="str">
        <f aca="false">IF(Tasks[[#This Row],[Task Name]]="","",IF(Tasks[[#This Row],[_IsSummary]],MAX(INDEX(Tasks[_ShownCalcFinish],Tasks[[#This Row],[_Row]]+1):INDEX(Tasks[_ShownCalcFinish],Tasks[[#This Row],[_Row]]+Tasks[[#This Row],[_Descendants]])),Tasks[[#This Row],[_ShownCalcFinish]]))</f>
        <v/>
      </c>
      <c r="D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4" s="41" t="n">
        <f aca="false">IF(AND(Tasks[[#This Row],[_IsLeaf]]=1,Tasks[[#This Row],[_LeafTotalWork]]&gt;0),NETWORKDAYS.INTL(ProjectStart,Tasks[[#This Row],[_ShownFcstStart]],WorkWeek,Holidays),0)</f>
        <v>0</v>
      </c>
      <c r="DY34" s="41" t="n">
        <f aca="false">IF(AND(Tasks[[#This Row],[_IsLeaf]]=1,Tasks[[#This Row],[_LeafTotalWork]]&gt;0),MAX(Tasks[[#This Row],[_StartWorkday]],NETWORKDAYS.INTL(ProjectStart,Tasks[[#This Row],[_ShownFcstFinish]],WorkWeek,Holidays)),0)</f>
        <v>0</v>
      </c>
      <c r="DZ34" s="41" t="n">
        <f aca="false">IF(AND(Tasks[[#This Row],[_IsLeaf]]=1,Tasks[[#This Row],[_LeafTotalWork]]&gt;0),Tasks[[#This Row],[_LeafWork]]/(Tasks[[#This Row],[_FinishWorkday]]-Tasks[[#This Row],[_StartWorkday]]+1),0)</f>
        <v>0</v>
      </c>
      <c r="EA34" s="41" t="n">
        <f aca="false">Tasks[[#This Row],[_WorkPerWorkday]]*(Tasks[[#This Row],[_StartWorkday]]-1)</f>
        <v>-0</v>
      </c>
      <c r="EB34" s="41" t="n">
        <f aca="false">IF(Tasks[[#This Row],[_IsLeaf]]=1,MAX(N(Tasks[[#This Row],[Duration]]),0.1),0)</f>
        <v>0</v>
      </c>
      <c r="EC34" s="41" t="n">
        <f aca="false">Tasks[[#This Row],[_WeightDur]]*Tasks[[#This Row],[_LeafProgress]]</f>
        <v>0</v>
      </c>
      <c r="ED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4" s="41" t="str">
        <f aca="false">IF(AND(Tasks[[#This Row],[_IsLeaf]]=1,N(Tasks[[#This Row],[Duration]])=0,Tasks[[#This Row],[_LeafProgress]]&lt;1),Tasks[[#This Row],[_ShownFcstFinish]]+Tasks[[#This Row],[_Row]]/100000,"")</f>
        <v/>
      </c>
      <c r="EF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4" s="41" t="n">
        <f aca="false">IF(NOT(Tasks[[#This Row],[_IsLeaf]]=1),0,IF(Tasks[[#This Row],[Baseline Cost]]="",Tasks[[#This Row],[_LeafTotalCost]],N(Tasks[[#This Row],[Baseline Cost]])))</f>
        <v>0</v>
      </c>
      <c r="EH34" s="41" t="n">
        <f aca="false">Tasks[[#This Row],[_LeafBudget]]*Tasks[[#This Row],[_PlannedPct]]</f>
        <v>0</v>
      </c>
      <c r="EI34" s="41" t="n">
        <f aca="false">Tasks[[#This Row],[_LeafBudget]]*Tasks[[#This Row],[_LeafProgress]]</f>
        <v>0</v>
      </c>
      <c r="EJ34" s="41" t="n">
        <f aca="false">IF(NOT(Tasks[[#This Row],[_IsLeaf]]=1),0,IF(Tasks[[#This Row],[Actual Cost]]="",Tasks[[#This Row],[_LeafTotalCost]]*Tasks[[#This Row],[_LeafProgress]],N(Tasks[[#This Row],[Actual Cost]])))</f>
        <v>0</v>
      </c>
      <c r="EK34" s="41" t="str">
        <f aca="false">IF(Tasks[[#This Row],[Task Name]]="","",LEFT(Tasks[[#This Row],[WBS]],FIND(".",Tasks[[#This Row],[WBS]]&amp;".")-1))</f>
        <v/>
      </c>
      <c r="EL34" s="41" t="str">
        <f aca="false">IF(AND(Tasks[[#This Row],[Task Name]]&lt;&gt;"",Tasks[[#This Row],[_Level]]=1),Tasks[[#This Row],[_Row]],"")</f>
        <v/>
      </c>
      <c r="EM34" s="41" t="str">
        <f aca="false">IF(AND(Tasks[[#This Row],[_IsLeaf]]=1,N(Tasks[[#This Row],[Duration]])=0),Tasks[[#This Row],[Planned Finish]]+Tasks[[#This Row],[_Row]]/100000,"")</f>
        <v/>
      </c>
      <c r="EN34" s="41" t="str">
        <f aca="false">IF(AND(Tasks[[#This Row],[_IsLeaf]]=1,Tasks[[#This Row],[_LeafProgress]]&lt;1,OR(N(Tasks[[#This Row],[Finish Var]])&gt;0,Tasks[[#This Row],[Status]]="Late Start")),MAX(0,Tasks[[#This Row],[Finish Var]])+1-Tasks[[#This Row],[_Row]]/1000000,"")</f>
        <v/>
      </c>
      <c r="EO34" s="41" t="str">
        <f aca="false">IF(AND(Tasks[[#This Row],[_IsLeaf]]=1,N(Tasks[[#This Row],[Actual Start]])=0,Tasks[[#This Row],[_ShownFcstStart]]&gt;=StatusDate,Tasks[[#This Row],[_ShownFcstStart]]&lt;=LookaheadEnd),Tasks[[#This Row],[_ShownFcstStart]]+Tasks[[#This Row],[_Row]]/100000,"")</f>
        <v/>
      </c>
      <c r="EP34" s="41" t="str">
        <f aca="false">IF(AND(Tasks[[#This Row],[_IsLeaf]]=1,Tasks[[#This Row],[_LeafProgress]]&lt;1,Tasks[[#This Row],[_ShownFcstFinish]]&gt;=StatusDate,Tasks[[#This Row],[_ShownFcstFinish]]&lt;=LookaheadEnd),Tasks[[#This Row],[_ShownFcstFinish]]+Tasks[[#This Row],[_Row]]/100000,"")</f>
        <v/>
      </c>
      <c r="EQ34" s="41" t="str">
        <f aca="false">IF(Tasks[[#This Row],[_LeafCritical]],Tasks[[#This Row],[_ShownFcstStart]]+Tasks[[#This Row],[_Row]]/100000,"")</f>
        <v/>
      </c>
      <c r="ER34" s="41" t="n">
        <f aca="false">Tasks[[#This Row],[_LeafWork]]*Tasks[[#This Row],[_LeafProgress]]</f>
        <v>0</v>
      </c>
      <c r="ES34" s="101" t="str">
        <f aca="false">IF(AND(Tasks[[#This Row],[_IsLeaf]]=1,Tasks[[#This Row],[_LeafProgress]]&gt;=1),IF(N(Tasks[[#This Row],[Actual Finish]])&gt;0,Tasks[[#This Row],[Actual Finish]],Tasks[[#This Row],[_ShownFcstFinish]]),"")</f>
        <v/>
      </c>
      <c r="ET34" s="41" t="n">
        <f aca="false">IF(Tasks[[#This Row],[_IsLeaf]]=1,N(Tasks[[#This Row],[Story Points]]),0)</f>
        <v>0</v>
      </c>
      <c r="EU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29"/>
      <c r="O35" s="29"/>
      <c r="P35" s="29"/>
      <c r="Q35" s="29"/>
      <c r="R35" s="29"/>
      <c r="S35" s="29"/>
      <c r="T35" s="30"/>
      <c r="U35" s="75"/>
      <c r="V35" s="75"/>
      <c r="W35" s="25" t="str">
        <f aca="false">IF(Tasks[[#This Row],[Task Name]]="","",IF(N(Tasks[[#This Row],[Baseline Start]])&gt;0,Tasks[[#This Row],[Baseline Start]],Tasks[[#This Row],[_CalcStart]]))</f>
        <v/>
      </c>
      <c r="X35" s="25" t="str">
        <f aca="false">IF(Tasks[[#This Row],[Task Name]]="","",IF(N(Tasks[[#This Row],[Baseline Finish]])&gt;0,Tasks[[#This Row],[Baseline Finish]],Tasks[[#This Row],[_CalcFinish]]))</f>
        <v/>
      </c>
      <c r="Y35" s="75"/>
      <c r="Z35" s="75"/>
      <c r="AA35" s="25" t="str">
        <f aca="false">IF(Tasks[[#This Row],[Task Name]]="","",IF(Tasks[[#This Row],[_IsSummary]],MIN(INDEX(Tasks[_ShownFcstStart],Tasks[[#This Row],[_Row]]+1):INDEX(Tasks[_ShownFcstStart],Tasks[[#This Row],[_Row]]+Tasks[[#This Row],[_Descendants]])),Tasks[[#This Row],[_ShownFcstStart]]))</f>
        <v/>
      </c>
      <c r="AB35" s="25" t="str">
        <f aca="false">IF(Tasks[[#This Row],[Task Name]]="","",IF(Tasks[[#This Row],[_IsSummary]],MAX(INDEX(Tasks[_ShownFcstFinish],Tasks[[#This Row],[_Row]]+1):INDEX(Tasks[_ShownFcstFinish],Tasks[[#This Row],[_Row]]+Tasks[[#This Row],[_Descendants]])),Tasks[[#This Row],[_ShownFcstFinish]]))</f>
        <v/>
      </c>
      <c r="AC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5" s="25" t="str">
        <f aca="false">IF(Tasks[[#This Row],[Task Name]]="","",IF(Tasks[[#This Row],[_IsSummary]],MIN(INDEX(Tasks[_LeafLateStart],Tasks[[#This Row],[_Row]]+1):INDEX(Tasks[_LeafLateStart],Tasks[[#This Row],[_Row]]+Tasks[[#This Row],[_Descendants]])),Tasks[[#This Row],[_LeafLateStart]]))</f>
        <v/>
      </c>
      <c r="AF35" s="25" t="str">
        <f aca="false">IF(Tasks[[#This Row],[Task Name]]="","",IF(Tasks[[#This Row],[_IsSummary]],MAX(INDEX(Tasks[_LeafLateFinish],Tasks[[#This Row],[_Row]]+1):INDEX(Tasks[_LeafLateFinish],Tasks[[#This Row],[_Row]]+Tasks[[#This Row],[_Descendants]])),Tasks[[#This Row],[_LeafLateFinish]]))</f>
        <v/>
      </c>
      <c r="AG35" s="28" t="str">
        <f aca="false">IF(Tasks[[#This Row],[Task Name]]="","",IF(Tasks[[#This Row],[_IsSummary]],MIN(INDEX(Tasks[_LeafTotalSlack],Tasks[[#This Row],[_Row]]+1):INDEX(Tasks[_LeafTotalSlack],Tasks[[#This Row],[_Row]]+Tasks[[#This Row],[_Descendants]])),Tasks[[#This Row],[_LeafTotalSlack]]))</f>
        <v/>
      </c>
      <c r="AH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5" s="28" t="str">
        <f aca="false">IF(Tasks[[#This Row],[Task Name]]="","",IF(IF(Tasks[[#This Row],[_IsSummary]],COUNTIF(INDEX(Tasks[_LeafCritical],Tasks[[#This Row],[_Row]]+1):INDEX(Tasks[_LeafCritical],Tasks[[#This Row],[_Row]]+Tasks[[#This Row],[_Descendants]]),TRUE())&gt;0,Tasks[[#This Row],[_LeafCritical]]),"Yes",""))</f>
        <v/>
      </c>
      <c r="AJ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5" s="89"/>
      <c r="AM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5" s="28" t="str">
        <f aca="false">IF(Tasks[[#This Row],[Task Name]]="","",IF(Tasks[[#This Row],[Progress]]&gt;=1,"Complete",IF(OR(N(Tasks[[#This Row],[Actual Start]])&gt;0,Tasks[[#This Row],[Progress]]&gt;0),IF(Tasks[[#This Row],[Finish Var]]&gt;0,"Behind","In Progress"),IF(Tasks[[#This Row],[Planned Start]]&lt;StatusDate,"Late Start","Not Started"))))</f>
        <v/>
      </c>
      <c r="AO35" s="30"/>
      <c r="AP35" s="89"/>
      <c r="AQ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5" s="96" t="str">
        <f aca="false">IF(Tasks[[#This Row],[Task Name]]="","",IF(Tasks[[#This Row],[_IsSummary]],SUM(INDEX(Tasks[_LeafTotalWork],Tasks[[#This Row],[_Row]]+1):INDEX(Tasks[_LeafTotalWork],Tasks[[#This Row],[_Row]]+Tasks[[#This Row],[_Descendants]])),Tasks[[#This Row],[_LeafTotalWork]]))</f>
        <v/>
      </c>
      <c r="AT35" s="97" t="str">
        <f aca="false">IF(Tasks[[#This Row],[Task Name]]="","",IF(Tasks[[#This Row],[_IsSummary]],SUM(INDEX(Tasks[_LeafTotalCost],Tasks[[#This Row],[_Row]]+1):INDEX(Tasks[_LeafTotalCost],Tasks[[#This Row],[_Row]]+Tasks[[#This Row],[_Descendants]])),Tasks[[#This Row],[_LeafTotalCost]]))</f>
        <v/>
      </c>
      <c r="AU35" s="98"/>
      <c r="AV35" s="29"/>
      <c r="AW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5" s="83"/>
      <c r="AY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5" s="30"/>
      <c r="BA35" s="25" t="str">
        <f aca="false">IF(Tasks[[#This Row],[Task Name]]="","",Tasks[[#This Row],[Forecast Start]])</f>
        <v/>
      </c>
      <c r="BB35" s="25" t="str">
        <f aca="false">IF(Tasks[[#This Row],[Task Name]]="","",Tasks[[#This Row],[Forecast Finish]])</f>
        <v/>
      </c>
      <c r="BC35" s="28" t="str">
        <f aca="false">IF(Tasks[[#This Row],[Task Name]]="","",IF(Tasks[[#This Row],[_IsSummary]],NETWORKDAYS.INTL(Tasks[[#This Row],[Forecast Start]],Tasks[[#This Row],[Forecast Finish]],WorkWeek,Holidays),N(Tasks[[#This Row],[Duration]])))</f>
        <v/>
      </c>
      <c r="BD35" s="96" t="str">
        <f aca="false">IF(Tasks[[#This Row],[Task Name]]="","",Tasks[[#This Row],[Work]])</f>
        <v/>
      </c>
      <c r="BE35" s="97" t="str">
        <f aca="false">IF(Tasks[[#This Row],[Task Name]]="","",Tasks[[#This Row],[Cost]])</f>
        <v/>
      </c>
      <c r="BF35" s="75"/>
      <c r="BG35" s="75"/>
      <c r="BH35" s="29"/>
      <c r="BI35" s="99"/>
      <c r="BJ35" s="98"/>
      <c r="BK35" s="28" t="str">
        <f aca="false">IF(OR(Tasks[[#This Row],[Task Name]]="",Tasks[[#This Row],[Baseline Duration]]=""),"",Tasks[[#This Row],[BL Source Duration]]-N(Tasks[[#This Row],[Baseline Duration]]))</f>
        <v/>
      </c>
      <c r="BL35" s="96" t="str">
        <f aca="false">IF(OR(Tasks[[#This Row],[Task Name]]="",Tasks[[#This Row],[Baseline Work]]=""),"",Tasks[[#This Row],[Work]]-N(Tasks[[#This Row],[Baseline Work]]))</f>
        <v/>
      </c>
      <c r="BM35" s="97" t="str">
        <f aca="false">IF(OR(Tasks[[#This Row],[Task Name]]="",Tasks[[#This Row],[Baseline Cost]]=""),"",Tasks[[#This Row],[Cost]]-N(Tasks[[#This Row],[Baseline Cost]]))</f>
        <v/>
      </c>
      <c r="BN35" s="97" t="str">
        <f aca="false">IF(Tasks[[#This Row],[Task Name]]="","",IF(Tasks[[#This Row],[_IsSummary]],SUM(INDEX(Tasks[_LeafBudget],Tasks[[#This Row],[_Row]]+1):INDEX(Tasks[_LeafBudget],Tasks[[#This Row],[_Row]]+Tasks[[#This Row],[_Descendants]])),Tasks[[#This Row],[_LeafBudget]]))</f>
        <v/>
      </c>
      <c r="BO35" s="97" t="str">
        <f aca="false">IF(Tasks[[#This Row],[Task Name]]="","",IF(Tasks[[#This Row],[_IsSummary]],SUM(INDEX(Tasks[_LeafPV],Tasks[[#This Row],[_Row]]+1):INDEX(Tasks[_LeafPV],Tasks[[#This Row],[_Row]]+Tasks[[#This Row],[_Descendants]])),Tasks[[#This Row],[_LeafPV]]))</f>
        <v/>
      </c>
      <c r="BP35" s="97" t="str">
        <f aca="false">IF(Tasks[[#This Row],[Task Name]]="","",IF(Tasks[[#This Row],[_IsSummary]],SUM(INDEX(Tasks[_LeafEV],Tasks[[#This Row],[_Row]]+1):INDEX(Tasks[_LeafEV],Tasks[[#This Row],[_Row]]+Tasks[[#This Row],[_Descendants]])),Tasks[[#This Row],[_LeafEV]]))</f>
        <v/>
      </c>
      <c r="BQ35" s="97" t="str">
        <f aca="false">IF(Tasks[[#This Row],[Task Name]]="","",IF(Tasks[[#This Row],[_IsSummary]],SUM(INDEX(Tasks[_LeafAC],Tasks[[#This Row],[_Row]]+1):INDEX(Tasks[_LeafAC],Tasks[[#This Row],[_Row]]+Tasks[[#This Row],[_Descendants]])),Tasks[[#This Row],[_LeafAC]]))</f>
        <v/>
      </c>
      <c r="BR35" s="41" t="str">
        <f aca="false">IF(Tasks[[#This Row],[Task Name]]="","",MAX(1,N(Tasks[[#This Row],[Level]])))</f>
        <v/>
      </c>
      <c r="BS35" s="41" t="n">
        <f aca="false">ROW()-ROW(Tasks[[#Headers],[ID]])</f>
        <v>30</v>
      </c>
      <c r="BT35" s="41" t="n">
        <f aca="false">IF(OR(Tasks[[#This Row],[Task Name]]="",Tasks[[#This Row],[_Level]]&lt;=1),0,IFERROR(LOOKUP(2,1/(Tasks[[#Headers],[_Level]]:Tasks[[#This Row],[_Level]]=Tasks[[#This Row],[_Level]]-1),ROW(Tasks[[#Headers],[_Level]]:Tasks[[#This Row],[_Level]])),0))</f>
        <v>0</v>
      </c>
      <c r="BU35" s="41" t="n">
        <f aca="false">IFERROR(N(INDEX(Tasks[_Level],Tasks[[#This Row],[_Row]]+1)),0)</f>
        <v>0</v>
      </c>
      <c r="BV35" s="100" t="b">
        <f aca="false">AND(Tasks[[#This Row],[Task Name]]&lt;&gt;"",Tasks[[#This Row],[_NextLevel]]&gt;Tasks[[#This Row],[_Level]])</f>
        <v>0</v>
      </c>
      <c r="BW35" s="41" t="n">
        <f aca="false">IF(Tasks[[#This Row],[_IsSummary]],COUNTIF(Tasks[WBS],Tasks[[#This Row],[WBS]]&amp;".*"),0)</f>
        <v>0</v>
      </c>
      <c r="BX35" s="41" t="n">
        <f aca="false">IF(AND(Tasks[[#This Row],[Task Name]]&lt;&gt;"",NOT(Tasks[[#This Row],[_IsSummary]])),1,0)</f>
        <v>0</v>
      </c>
      <c r="BY35" s="41" t="n">
        <f aca="false">IF(N(Tasks[[#This Row],[Pred1 UID]])=0,0,IFERROR(MATCH(Tasks[[#This Row],[Pred1 UID]],Tasks[UID],0),-1))</f>
        <v>0</v>
      </c>
      <c r="BZ35" s="41" t="n">
        <f aca="false">IF(N(Tasks[[#This Row],[Pred2 UID]])=0,0,IFERROR(MATCH(Tasks[[#This Row],[Pred2 UID]],Tasks[UID],0),-1))</f>
        <v>0</v>
      </c>
      <c r="CA35" s="41" t="n">
        <f aca="false">IF(N(Tasks[[#This Row],[Pred3 UID]])=0,0,IFERROR(MATCH(Tasks[[#This Row],[Pred3 UID]],Tasks[UID],0),-1))</f>
        <v>0</v>
      </c>
      <c r="CB35" s="41" t="n">
        <f aca="false">IF(N(Tasks[[#This Row],[Pred4 UID]])=0,0,IFERROR(MATCH(Tasks[[#This Row],[Pred4 UID]],Tasks[UID],0),-1))</f>
        <v>0</v>
      </c>
      <c r="CC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5" s="101" t="n">
        <f aca="false">IF(OR(Tasks[[#This Row],[_ConstraintCode]]=2,Tasks[[#This Row],[_ConstraintCode]]=3,Tasks[[#This Row],[_ConstraintCode]]=4,Tasks[[#This Row],[_ConstraintCode]]=6),Tasks[[#This Row],[_ConstraintStart]],0)</f>
        <v>0</v>
      </c>
      <c r="CF35" s="101" t="n">
        <f aca="false">IF(OR(Tasks[[#This Row],[_ConstraintCode]]=2,Tasks[[#This Row],[_ConstraintCode]]=3,Tasks[[#This Row],[_ConstraintCode]]=5,Tasks[[#This Row],[_ConstraintCode]]=7),Tasks[[#This Row],[_ConstraintStart]],2958465)</f>
        <v>2958465</v>
      </c>
      <c r="CG3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5" s="101" t="str">
        <f aca="false">IF(NOT(Tasks[[#This Row],[_IsLeaf]]=1),"",IF(N(Tasks[[#This Row],[Duration]])&lt;=0,Tasks[[#This Row],[_LeafCalcStart]],WORKDAY.INTL(Tasks[[#This Row],[_LeafCalcStart]],Tasks[[#This Row],[Duration]]-1,WorkWeek,Holidays)))</f>
        <v/>
      </c>
      <c r="CI3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5" s="41" t="n">
        <f aca="false">IF(NOT(Tasks[[#This Row],[_IsLeaf]]=1),0,IF(N(Tasks[[#This Row],[Actual Finish]])&gt;0,1,MIN(1,N(Tasks[[#This Row],[% Complete]]))))</f>
        <v>0</v>
      </c>
      <c r="CL35" s="41" t="n">
        <f aca="false">IF(OR(NOT(Tasks[[#This Row],[_IsLeaf]]=1),Tasks[[#This Row],[Resource]]=""),0,N(Tasks[[#This Row],[Duration]])*HoursPerDay*IF(Tasks[[#This Row],[Units]]="",DefaultUnits,Tasks[[#This Row],[Units]]))</f>
        <v>0</v>
      </c>
      <c r="CM35" s="41" t="n">
        <f aca="false">IF(Tasks[[#This Row],[_LeafWork]]=0,0,Tasks[[#This Row],[_LeafWork]]*IFERROR(INDEX(res_Rate,MATCH(Tasks[[#This Row],[Resource]],res_Name,0)),0))</f>
        <v>0</v>
      </c>
      <c r="CN35" s="41" t="n">
        <f aca="false">Tasks[[#This Row],[_LeafWork]]+IF(Tasks[[#This Row],[_IsLeaf]]=1,SUMIFS(asg_Work,asg_TaskUID,Tasks[[#This Row],[UID]],asg_Valid,1),0)</f>
        <v>0</v>
      </c>
      <c r="CO35" s="41" t="n">
        <f aca="false">Tasks[[#This Row],[_LeafCost]]+IF(Tasks[[#This Row],[_IsLeaf]]=1,SUMIFS(asg_Cost,asg_TaskUID,Tasks[[#This Row],[UID]],asg_Valid,1),0)</f>
        <v>0</v>
      </c>
      <c r="CP35" s="41" t="n">
        <f aca="false">IF(Tasks[[#This Row],[_LeafTotalCost]]=0,Tasks[[#This Row],[_LeafAC]],Tasks[[#This Row],[_LeafAC]]*Tasks[[#This Row],[_LeafCost]]/Tasks[[#This Row],[_LeafTotalCost]])</f>
        <v>0</v>
      </c>
      <c r="CQ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5" s="41" t="n">
        <f aca="false">IF(NOT(Tasks[[#This Row],[_IsLeaf]]=1),0,MAX(_xlfn.MAXIFS(Tasks[_Row],Tasks[Pred1 UID],Tasks[[#This Row],[UID]]),_xlfn.MAXIFS(Tasks[_Row],Tasks[Pred2 UID],Tasks[[#This Row],[UID]]),_xlfn.MAXIFS(Tasks[_Row],Tasks[Pred3 UID],Tasks[[#This Row],[UID]]),_xlfn.MAXIFS(Tasks[_Row],Tasks[Pred4 UID],Tasks[[#This Row],[UID]])))</f>
        <v>0</v>
      </c>
      <c r="CZ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5" s="101" t="str">
        <f aca="false">IF(NOT(Tasks[[#This Row],[_IsLeaf]]=1),"",IF(N(Tasks[[#This Row],[Duration]])&lt;=0,Tasks[[#This Row],[_LeafLateFinish]],WORKDAY.INTL(Tasks[[#This Row],[_LeafLateFinish]],-(Tasks[[#This Row],[Duration]]-1),WorkWeek,Holidays)))</f>
        <v/>
      </c>
      <c r="DC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5" s="100" t="b">
        <f aca="false">AND(Tasks[[#This Row],[_IsLeaf]]=1,Tasks[[#This Row],[_LeafProgress]]&lt;1,N(Tasks[[#This Row],[_LeafTotalSlack]])&lt;=CriticalSlackDays)</f>
        <v>0</v>
      </c>
      <c r="DE35" s="41" t="n">
        <f aca="false">IF(AND(Tasks[[#This Row],[_IsLeaf]]=1,Tasks[[#This Row],[_ConstraintCode]]=1,Tasks[[#This Row],[Mode]]&lt;&gt;"Manual",N(Tasks[[#This Row],[Actual Start]])=0),MAX(0,N(Tasks[[#This Row],[Free Slack]])),0)</f>
        <v>0</v>
      </c>
      <c r="DF35" s="101" t="str">
        <f aca="false">IF(NOT(Tasks[[#This Row],[_IsLeaf]]=1),"",IF(Tasks[[#This Row],[_AlapShift]]=0,Tasks[[#This Row],[_LeafCalcStart]],WORKDAY.INTL(Tasks[[#This Row],[_LeafCalcStart]],Tasks[[#This Row],[_AlapShift]],WorkWeek,Holidays)))</f>
        <v/>
      </c>
      <c r="DG35" s="101" t="str">
        <f aca="false">IF(NOT(Tasks[[#This Row],[_IsLeaf]]=1),"",IF(Tasks[[#This Row],[_AlapShift]]=0,Tasks[[#This Row],[_LeafCalcFinish]],WORKDAY.INTL(Tasks[[#This Row],[_LeafCalcFinish]],Tasks[[#This Row],[_AlapShift]],WorkWeek,Holidays)))</f>
        <v/>
      </c>
      <c r="DH35" s="101" t="str">
        <f aca="false">IF(NOT(Tasks[[#This Row],[_IsLeaf]]=1),"",IF(Tasks[[#This Row],[_AlapShift]]=0,Tasks[[#This Row],[_LeafFcstStart]],WORKDAY.INTL(Tasks[[#This Row],[_LeafFcstStart]],Tasks[[#This Row],[_AlapShift]],WorkWeek,Holidays)))</f>
        <v/>
      </c>
      <c r="DI35" s="101" t="str">
        <f aca="false">IF(NOT(Tasks[[#This Row],[_IsLeaf]]=1),"",IF(Tasks[[#This Row],[_AlapShift]]=0,Tasks[[#This Row],[_LeafFcstFinish]],WORKDAY.INTL(Tasks[[#This Row],[_LeafFcstFinish]],Tasks[[#This Row],[_AlapShift]],WorkWeek,Holidays)))</f>
        <v/>
      </c>
      <c r="DJ35" s="101" t="str">
        <f aca="false">IF(Tasks[[#This Row],[Task Name]]="","",IF(Tasks[[#This Row],[_IsSummary]],MIN(INDEX(Tasks[_ShownCalcStart],Tasks[[#This Row],[_Row]]+1):INDEX(Tasks[_ShownCalcStart],Tasks[[#This Row],[_Row]]+Tasks[[#This Row],[_Descendants]])),Tasks[[#This Row],[_ShownCalcStart]]))</f>
        <v/>
      </c>
      <c r="DK35" s="101" t="str">
        <f aca="false">IF(Tasks[[#This Row],[Task Name]]="","",IF(Tasks[[#This Row],[_IsSummary]],MAX(INDEX(Tasks[_ShownCalcFinish],Tasks[[#This Row],[_Row]]+1):INDEX(Tasks[_ShownCalcFinish],Tasks[[#This Row],[_Row]]+Tasks[[#This Row],[_Descendants]])),Tasks[[#This Row],[_ShownCalcFinish]]))</f>
        <v/>
      </c>
      <c r="D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5" s="41" t="n">
        <f aca="false">IF(AND(Tasks[[#This Row],[_IsLeaf]]=1,Tasks[[#This Row],[_LeafTotalWork]]&gt;0),NETWORKDAYS.INTL(ProjectStart,Tasks[[#This Row],[_ShownFcstStart]],WorkWeek,Holidays),0)</f>
        <v>0</v>
      </c>
      <c r="DY35" s="41" t="n">
        <f aca="false">IF(AND(Tasks[[#This Row],[_IsLeaf]]=1,Tasks[[#This Row],[_LeafTotalWork]]&gt;0),MAX(Tasks[[#This Row],[_StartWorkday]],NETWORKDAYS.INTL(ProjectStart,Tasks[[#This Row],[_ShownFcstFinish]],WorkWeek,Holidays)),0)</f>
        <v>0</v>
      </c>
      <c r="DZ35" s="41" t="n">
        <f aca="false">IF(AND(Tasks[[#This Row],[_IsLeaf]]=1,Tasks[[#This Row],[_LeafTotalWork]]&gt;0),Tasks[[#This Row],[_LeafWork]]/(Tasks[[#This Row],[_FinishWorkday]]-Tasks[[#This Row],[_StartWorkday]]+1),0)</f>
        <v>0</v>
      </c>
      <c r="EA35" s="41" t="n">
        <f aca="false">Tasks[[#This Row],[_WorkPerWorkday]]*(Tasks[[#This Row],[_StartWorkday]]-1)</f>
        <v>-0</v>
      </c>
      <c r="EB35" s="41" t="n">
        <f aca="false">IF(Tasks[[#This Row],[_IsLeaf]]=1,MAX(N(Tasks[[#This Row],[Duration]]),0.1),0)</f>
        <v>0</v>
      </c>
      <c r="EC35" s="41" t="n">
        <f aca="false">Tasks[[#This Row],[_WeightDur]]*Tasks[[#This Row],[_LeafProgress]]</f>
        <v>0</v>
      </c>
      <c r="ED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5" s="41" t="str">
        <f aca="false">IF(AND(Tasks[[#This Row],[_IsLeaf]]=1,N(Tasks[[#This Row],[Duration]])=0,Tasks[[#This Row],[_LeafProgress]]&lt;1),Tasks[[#This Row],[_ShownFcstFinish]]+Tasks[[#This Row],[_Row]]/100000,"")</f>
        <v/>
      </c>
      <c r="EF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5" s="41" t="n">
        <f aca="false">IF(NOT(Tasks[[#This Row],[_IsLeaf]]=1),0,IF(Tasks[[#This Row],[Baseline Cost]]="",Tasks[[#This Row],[_LeafTotalCost]],N(Tasks[[#This Row],[Baseline Cost]])))</f>
        <v>0</v>
      </c>
      <c r="EH35" s="41" t="n">
        <f aca="false">Tasks[[#This Row],[_LeafBudget]]*Tasks[[#This Row],[_PlannedPct]]</f>
        <v>0</v>
      </c>
      <c r="EI35" s="41" t="n">
        <f aca="false">Tasks[[#This Row],[_LeafBudget]]*Tasks[[#This Row],[_LeafProgress]]</f>
        <v>0</v>
      </c>
      <c r="EJ35" s="41" t="n">
        <f aca="false">IF(NOT(Tasks[[#This Row],[_IsLeaf]]=1),0,IF(Tasks[[#This Row],[Actual Cost]]="",Tasks[[#This Row],[_LeafTotalCost]]*Tasks[[#This Row],[_LeafProgress]],N(Tasks[[#This Row],[Actual Cost]])))</f>
        <v>0</v>
      </c>
      <c r="EK35" s="41" t="str">
        <f aca="false">IF(Tasks[[#This Row],[Task Name]]="","",LEFT(Tasks[[#This Row],[WBS]],FIND(".",Tasks[[#This Row],[WBS]]&amp;".")-1))</f>
        <v/>
      </c>
      <c r="EL35" s="41" t="str">
        <f aca="false">IF(AND(Tasks[[#This Row],[Task Name]]&lt;&gt;"",Tasks[[#This Row],[_Level]]=1),Tasks[[#This Row],[_Row]],"")</f>
        <v/>
      </c>
      <c r="EM35" s="41" t="str">
        <f aca="false">IF(AND(Tasks[[#This Row],[_IsLeaf]]=1,N(Tasks[[#This Row],[Duration]])=0),Tasks[[#This Row],[Planned Finish]]+Tasks[[#This Row],[_Row]]/100000,"")</f>
        <v/>
      </c>
      <c r="EN35" s="41" t="str">
        <f aca="false">IF(AND(Tasks[[#This Row],[_IsLeaf]]=1,Tasks[[#This Row],[_LeafProgress]]&lt;1,OR(N(Tasks[[#This Row],[Finish Var]])&gt;0,Tasks[[#This Row],[Status]]="Late Start")),MAX(0,Tasks[[#This Row],[Finish Var]])+1-Tasks[[#This Row],[_Row]]/1000000,"")</f>
        <v/>
      </c>
      <c r="EO35" s="41" t="str">
        <f aca="false">IF(AND(Tasks[[#This Row],[_IsLeaf]]=1,N(Tasks[[#This Row],[Actual Start]])=0,Tasks[[#This Row],[_ShownFcstStart]]&gt;=StatusDate,Tasks[[#This Row],[_ShownFcstStart]]&lt;=LookaheadEnd),Tasks[[#This Row],[_ShownFcstStart]]+Tasks[[#This Row],[_Row]]/100000,"")</f>
        <v/>
      </c>
      <c r="EP35" s="41" t="str">
        <f aca="false">IF(AND(Tasks[[#This Row],[_IsLeaf]]=1,Tasks[[#This Row],[_LeafProgress]]&lt;1,Tasks[[#This Row],[_ShownFcstFinish]]&gt;=StatusDate,Tasks[[#This Row],[_ShownFcstFinish]]&lt;=LookaheadEnd),Tasks[[#This Row],[_ShownFcstFinish]]+Tasks[[#This Row],[_Row]]/100000,"")</f>
        <v/>
      </c>
      <c r="EQ35" s="41" t="str">
        <f aca="false">IF(Tasks[[#This Row],[_LeafCritical]],Tasks[[#This Row],[_ShownFcstStart]]+Tasks[[#This Row],[_Row]]/100000,"")</f>
        <v/>
      </c>
      <c r="ER35" s="41" t="n">
        <f aca="false">Tasks[[#This Row],[_LeafWork]]*Tasks[[#This Row],[_LeafProgress]]</f>
        <v>0</v>
      </c>
      <c r="ES35" s="101" t="str">
        <f aca="false">IF(AND(Tasks[[#This Row],[_IsLeaf]]=1,Tasks[[#This Row],[_LeafProgress]]&gt;=1),IF(N(Tasks[[#This Row],[Actual Finish]])&gt;0,Tasks[[#This Row],[Actual Finish]],Tasks[[#This Row],[_ShownFcstFinish]]),"")</f>
        <v/>
      </c>
      <c r="ET35" s="41" t="n">
        <f aca="false">IF(Tasks[[#This Row],[_IsLeaf]]=1,N(Tasks[[#This Row],[Story Points]]),0)</f>
        <v>0</v>
      </c>
      <c r="EU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29"/>
      <c r="O36" s="29"/>
      <c r="P36" s="29"/>
      <c r="Q36" s="29"/>
      <c r="R36" s="29"/>
      <c r="S36" s="29"/>
      <c r="T36" s="30"/>
      <c r="U36" s="75"/>
      <c r="V36" s="75"/>
      <c r="W36" s="25" t="str">
        <f aca="false">IF(Tasks[[#This Row],[Task Name]]="","",IF(N(Tasks[[#This Row],[Baseline Start]])&gt;0,Tasks[[#This Row],[Baseline Start]],Tasks[[#This Row],[_CalcStart]]))</f>
        <v/>
      </c>
      <c r="X36" s="25" t="str">
        <f aca="false">IF(Tasks[[#This Row],[Task Name]]="","",IF(N(Tasks[[#This Row],[Baseline Finish]])&gt;0,Tasks[[#This Row],[Baseline Finish]],Tasks[[#This Row],[_CalcFinish]]))</f>
        <v/>
      </c>
      <c r="Y36" s="75"/>
      <c r="Z36" s="75"/>
      <c r="AA36" s="25" t="str">
        <f aca="false">IF(Tasks[[#This Row],[Task Name]]="","",IF(Tasks[[#This Row],[_IsSummary]],MIN(INDEX(Tasks[_ShownFcstStart],Tasks[[#This Row],[_Row]]+1):INDEX(Tasks[_ShownFcstStart],Tasks[[#This Row],[_Row]]+Tasks[[#This Row],[_Descendants]])),Tasks[[#This Row],[_ShownFcstStart]]))</f>
        <v/>
      </c>
      <c r="AB36" s="25" t="str">
        <f aca="false">IF(Tasks[[#This Row],[Task Name]]="","",IF(Tasks[[#This Row],[_IsSummary]],MAX(INDEX(Tasks[_ShownFcstFinish],Tasks[[#This Row],[_Row]]+1):INDEX(Tasks[_ShownFcstFinish],Tasks[[#This Row],[_Row]]+Tasks[[#This Row],[_Descendants]])),Tasks[[#This Row],[_ShownFcstFinish]]))</f>
        <v/>
      </c>
      <c r="AC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6" s="25" t="str">
        <f aca="false">IF(Tasks[[#This Row],[Task Name]]="","",IF(Tasks[[#This Row],[_IsSummary]],MIN(INDEX(Tasks[_LeafLateStart],Tasks[[#This Row],[_Row]]+1):INDEX(Tasks[_LeafLateStart],Tasks[[#This Row],[_Row]]+Tasks[[#This Row],[_Descendants]])),Tasks[[#This Row],[_LeafLateStart]]))</f>
        <v/>
      </c>
      <c r="AF36" s="25" t="str">
        <f aca="false">IF(Tasks[[#This Row],[Task Name]]="","",IF(Tasks[[#This Row],[_IsSummary]],MAX(INDEX(Tasks[_LeafLateFinish],Tasks[[#This Row],[_Row]]+1):INDEX(Tasks[_LeafLateFinish],Tasks[[#This Row],[_Row]]+Tasks[[#This Row],[_Descendants]])),Tasks[[#This Row],[_LeafLateFinish]]))</f>
        <v/>
      </c>
      <c r="AG36" s="28" t="str">
        <f aca="false">IF(Tasks[[#This Row],[Task Name]]="","",IF(Tasks[[#This Row],[_IsSummary]],MIN(INDEX(Tasks[_LeafTotalSlack],Tasks[[#This Row],[_Row]]+1):INDEX(Tasks[_LeafTotalSlack],Tasks[[#This Row],[_Row]]+Tasks[[#This Row],[_Descendants]])),Tasks[[#This Row],[_LeafTotalSlack]]))</f>
        <v/>
      </c>
      <c r="AH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6" s="28" t="str">
        <f aca="false">IF(Tasks[[#This Row],[Task Name]]="","",IF(IF(Tasks[[#This Row],[_IsSummary]],COUNTIF(INDEX(Tasks[_LeafCritical],Tasks[[#This Row],[_Row]]+1):INDEX(Tasks[_LeafCritical],Tasks[[#This Row],[_Row]]+Tasks[[#This Row],[_Descendants]]),TRUE())&gt;0,Tasks[[#This Row],[_LeafCritical]]),"Yes",""))</f>
        <v/>
      </c>
      <c r="AJ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6" s="89"/>
      <c r="AM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6" s="28" t="str">
        <f aca="false">IF(Tasks[[#This Row],[Task Name]]="","",IF(Tasks[[#This Row],[Progress]]&gt;=1,"Complete",IF(OR(N(Tasks[[#This Row],[Actual Start]])&gt;0,Tasks[[#This Row],[Progress]]&gt;0),IF(Tasks[[#This Row],[Finish Var]]&gt;0,"Behind","In Progress"),IF(Tasks[[#This Row],[Planned Start]]&lt;StatusDate,"Late Start","Not Started"))))</f>
        <v/>
      </c>
      <c r="AO36" s="30"/>
      <c r="AP36" s="89"/>
      <c r="AQ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6" s="96" t="str">
        <f aca="false">IF(Tasks[[#This Row],[Task Name]]="","",IF(Tasks[[#This Row],[_IsSummary]],SUM(INDEX(Tasks[_LeafTotalWork],Tasks[[#This Row],[_Row]]+1):INDEX(Tasks[_LeafTotalWork],Tasks[[#This Row],[_Row]]+Tasks[[#This Row],[_Descendants]])),Tasks[[#This Row],[_LeafTotalWork]]))</f>
        <v/>
      </c>
      <c r="AT36" s="97" t="str">
        <f aca="false">IF(Tasks[[#This Row],[Task Name]]="","",IF(Tasks[[#This Row],[_IsSummary]],SUM(INDEX(Tasks[_LeafTotalCost],Tasks[[#This Row],[_Row]]+1):INDEX(Tasks[_LeafTotalCost],Tasks[[#This Row],[_Row]]+Tasks[[#This Row],[_Descendants]])),Tasks[[#This Row],[_LeafTotalCost]]))</f>
        <v/>
      </c>
      <c r="AU36" s="98"/>
      <c r="AV36" s="29"/>
      <c r="AW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6" s="83"/>
      <c r="AY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6" s="30"/>
      <c r="BA36" s="25" t="str">
        <f aca="false">IF(Tasks[[#This Row],[Task Name]]="","",Tasks[[#This Row],[Forecast Start]])</f>
        <v/>
      </c>
      <c r="BB36" s="25" t="str">
        <f aca="false">IF(Tasks[[#This Row],[Task Name]]="","",Tasks[[#This Row],[Forecast Finish]])</f>
        <v/>
      </c>
      <c r="BC36" s="28" t="str">
        <f aca="false">IF(Tasks[[#This Row],[Task Name]]="","",IF(Tasks[[#This Row],[_IsSummary]],NETWORKDAYS.INTL(Tasks[[#This Row],[Forecast Start]],Tasks[[#This Row],[Forecast Finish]],WorkWeek,Holidays),N(Tasks[[#This Row],[Duration]])))</f>
        <v/>
      </c>
      <c r="BD36" s="96" t="str">
        <f aca="false">IF(Tasks[[#This Row],[Task Name]]="","",Tasks[[#This Row],[Work]])</f>
        <v/>
      </c>
      <c r="BE36" s="97" t="str">
        <f aca="false">IF(Tasks[[#This Row],[Task Name]]="","",Tasks[[#This Row],[Cost]])</f>
        <v/>
      </c>
      <c r="BF36" s="75"/>
      <c r="BG36" s="75"/>
      <c r="BH36" s="29"/>
      <c r="BI36" s="99"/>
      <c r="BJ36" s="98"/>
      <c r="BK36" s="28" t="str">
        <f aca="false">IF(OR(Tasks[[#This Row],[Task Name]]="",Tasks[[#This Row],[Baseline Duration]]=""),"",Tasks[[#This Row],[BL Source Duration]]-N(Tasks[[#This Row],[Baseline Duration]]))</f>
        <v/>
      </c>
      <c r="BL36" s="96" t="str">
        <f aca="false">IF(OR(Tasks[[#This Row],[Task Name]]="",Tasks[[#This Row],[Baseline Work]]=""),"",Tasks[[#This Row],[Work]]-N(Tasks[[#This Row],[Baseline Work]]))</f>
        <v/>
      </c>
      <c r="BM36" s="97" t="str">
        <f aca="false">IF(OR(Tasks[[#This Row],[Task Name]]="",Tasks[[#This Row],[Baseline Cost]]=""),"",Tasks[[#This Row],[Cost]]-N(Tasks[[#This Row],[Baseline Cost]]))</f>
        <v/>
      </c>
      <c r="BN36" s="97" t="str">
        <f aca="false">IF(Tasks[[#This Row],[Task Name]]="","",IF(Tasks[[#This Row],[_IsSummary]],SUM(INDEX(Tasks[_LeafBudget],Tasks[[#This Row],[_Row]]+1):INDEX(Tasks[_LeafBudget],Tasks[[#This Row],[_Row]]+Tasks[[#This Row],[_Descendants]])),Tasks[[#This Row],[_LeafBudget]]))</f>
        <v/>
      </c>
      <c r="BO36" s="97" t="str">
        <f aca="false">IF(Tasks[[#This Row],[Task Name]]="","",IF(Tasks[[#This Row],[_IsSummary]],SUM(INDEX(Tasks[_LeafPV],Tasks[[#This Row],[_Row]]+1):INDEX(Tasks[_LeafPV],Tasks[[#This Row],[_Row]]+Tasks[[#This Row],[_Descendants]])),Tasks[[#This Row],[_LeafPV]]))</f>
        <v/>
      </c>
      <c r="BP36" s="97" t="str">
        <f aca="false">IF(Tasks[[#This Row],[Task Name]]="","",IF(Tasks[[#This Row],[_IsSummary]],SUM(INDEX(Tasks[_LeafEV],Tasks[[#This Row],[_Row]]+1):INDEX(Tasks[_LeafEV],Tasks[[#This Row],[_Row]]+Tasks[[#This Row],[_Descendants]])),Tasks[[#This Row],[_LeafEV]]))</f>
        <v/>
      </c>
      <c r="BQ36" s="97" t="str">
        <f aca="false">IF(Tasks[[#This Row],[Task Name]]="","",IF(Tasks[[#This Row],[_IsSummary]],SUM(INDEX(Tasks[_LeafAC],Tasks[[#This Row],[_Row]]+1):INDEX(Tasks[_LeafAC],Tasks[[#This Row],[_Row]]+Tasks[[#This Row],[_Descendants]])),Tasks[[#This Row],[_LeafAC]]))</f>
        <v/>
      </c>
      <c r="BR36" s="41" t="str">
        <f aca="false">IF(Tasks[[#This Row],[Task Name]]="","",MAX(1,N(Tasks[[#This Row],[Level]])))</f>
        <v/>
      </c>
      <c r="BS36" s="41" t="n">
        <f aca="false">ROW()-ROW(Tasks[[#Headers],[ID]])</f>
        <v>31</v>
      </c>
      <c r="BT36" s="41" t="n">
        <f aca="false">IF(OR(Tasks[[#This Row],[Task Name]]="",Tasks[[#This Row],[_Level]]&lt;=1),0,IFERROR(LOOKUP(2,1/(Tasks[[#Headers],[_Level]]:Tasks[[#This Row],[_Level]]=Tasks[[#This Row],[_Level]]-1),ROW(Tasks[[#Headers],[_Level]]:Tasks[[#This Row],[_Level]])),0))</f>
        <v>0</v>
      </c>
      <c r="BU36" s="41" t="n">
        <f aca="false">IFERROR(N(INDEX(Tasks[_Level],Tasks[[#This Row],[_Row]]+1)),0)</f>
        <v>0</v>
      </c>
      <c r="BV36" s="100" t="b">
        <f aca="false">AND(Tasks[[#This Row],[Task Name]]&lt;&gt;"",Tasks[[#This Row],[_NextLevel]]&gt;Tasks[[#This Row],[_Level]])</f>
        <v>0</v>
      </c>
      <c r="BW36" s="41" t="n">
        <f aca="false">IF(Tasks[[#This Row],[_IsSummary]],COUNTIF(Tasks[WBS],Tasks[[#This Row],[WBS]]&amp;".*"),0)</f>
        <v>0</v>
      </c>
      <c r="BX36" s="41" t="n">
        <f aca="false">IF(AND(Tasks[[#This Row],[Task Name]]&lt;&gt;"",NOT(Tasks[[#This Row],[_IsSummary]])),1,0)</f>
        <v>0</v>
      </c>
      <c r="BY36" s="41" t="n">
        <f aca="false">IF(N(Tasks[[#This Row],[Pred1 UID]])=0,0,IFERROR(MATCH(Tasks[[#This Row],[Pred1 UID]],Tasks[UID],0),-1))</f>
        <v>0</v>
      </c>
      <c r="BZ36" s="41" t="n">
        <f aca="false">IF(N(Tasks[[#This Row],[Pred2 UID]])=0,0,IFERROR(MATCH(Tasks[[#This Row],[Pred2 UID]],Tasks[UID],0),-1))</f>
        <v>0</v>
      </c>
      <c r="CA36" s="41" t="n">
        <f aca="false">IF(N(Tasks[[#This Row],[Pred3 UID]])=0,0,IFERROR(MATCH(Tasks[[#This Row],[Pred3 UID]],Tasks[UID],0),-1))</f>
        <v>0</v>
      </c>
      <c r="CB36" s="41" t="n">
        <f aca="false">IF(N(Tasks[[#This Row],[Pred4 UID]])=0,0,IFERROR(MATCH(Tasks[[#This Row],[Pred4 UID]],Tasks[UID],0),-1))</f>
        <v>0</v>
      </c>
      <c r="CC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6" s="101" t="n">
        <f aca="false">IF(OR(Tasks[[#This Row],[_ConstraintCode]]=2,Tasks[[#This Row],[_ConstraintCode]]=3,Tasks[[#This Row],[_ConstraintCode]]=4,Tasks[[#This Row],[_ConstraintCode]]=6),Tasks[[#This Row],[_ConstraintStart]],0)</f>
        <v>0</v>
      </c>
      <c r="CF36" s="101" t="n">
        <f aca="false">IF(OR(Tasks[[#This Row],[_ConstraintCode]]=2,Tasks[[#This Row],[_ConstraintCode]]=3,Tasks[[#This Row],[_ConstraintCode]]=5,Tasks[[#This Row],[_ConstraintCode]]=7),Tasks[[#This Row],[_ConstraintStart]],2958465)</f>
        <v>2958465</v>
      </c>
      <c r="CG3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6" s="101" t="str">
        <f aca="false">IF(NOT(Tasks[[#This Row],[_IsLeaf]]=1),"",IF(N(Tasks[[#This Row],[Duration]])&lt;=0,Tasks[[#This Row],[_LeafCalcStart]],WORKDAY.INTL(Tasks[[#This Row],[_LeafCalcStart]],Tasks[[#This Row],[Duration]]-1,WorkWeek,Holidays)))</f>
        <v/>
      </c>
      <c r="CI3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6" s="41" t="n">
        <f aca="false">IF(NOT(Tasks[[#This Row],[_IsLeaf]]=1),0,IF(N(Tasks[[#This Row],[Actual Finish]])&gt;0,1,MIN(1,N(Tasks[[#This Row],[% Complete]]))))</f>
        <v>0</v>
      </c>
      <c r="CL36" s="41" t="n">
        <f aca="false">IF(OR(NOT(Tasks[[#This Row],[_IsLeaf]]=1),Tasks[[#This Row],[Resource]]=""),0,N(Tasks[[#This Row],[Duration]])*HoursPerDay*IF(Tasks[[#This Row],[Units]]="",DefaultUnits,Tasks[[#This Row],[Units]]))</f>
        <v>0</v>
      </c>
      <c r="CM36" s="41" t="n">
        <f aca="false">IF(Tasks[[#This Row],[_LeafWork]]=0,0,Tasks[[#This Row],[_LeafWork]]*IFERROR(INDEX(res_Rate,MATCH(Tasks[[#This Row],[Resource]],res_Name,0)),0))</f>
        <v>0</v>
      </c>
      <c r="CN36" s="41" t="n">
        <f aca="false">Tasks[[#This Row],[_LeafWork]]+IF(Tasks[[#This Row],[_IsLeaf]]=1,SUMIFS(asg_Work,asg_TaskUID,Tasks[[#This Row],[UID]],asg_Valid,1),0)</f>
        <v>0</v>
      </c>
      <c r="CO36" s="41" t="n">
        <f aca="false">Tasks[[#This Row],[_LeafCost]]+IF(Tasks[[#This Row],[_IsLeaf]]=1,SUMIFS(asg_Cost,asg_TaskUID,Tasks[[#This Row],[UID]],asg_Valid,1),0)</f>
        <v>0</v>
      </c>
      <c r="CP36" s="41" t="n">
        <f aca="false">IF(Tasks[[#This Row],[_LeafTotalCost]]=0,Tasks[[#This Row],[_LeafAC]],Tasks[[#This Row],[_LeafAC]]*Tasks[[#This Row],[_LeafCost]]/Tasks[[#This Row],[_LeafTotalCost]])</f>
        <v>0</v>
      </c>
      <c r="CQ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6" s="41" t="n">
        <f aca="false">IF(NOT(Tasks[[#This Row],[_IsLeaf]]=1),0,MAX(_xlfn.MAXIFS(Tasks[_Row],Tasks[Pred1 UID],Tasks[[#This Row],[UID]]),_xlfn.MAXIFS(Tasks[_Row],Tasks[Pred2 UID],Tasks[[#This Row],[UID]]),_xlfn.MAXIFS(Tasks[_Row],Tasks[Pred3 UID],Tasks[[#This Row],[UID]]),_xlfn.MAXIFS(Tasks[_Row],Tasks[Pred4 UID],Tasks[[#This Row],[UID]])))</f>
        <v>0</v>
      </c>
      <c r="CZ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6" s="101" t="str">
        <f aca="false">IF(NOT(Tasks[[#This Row],[_IsLeaf]]=1),"",IF(N(Tasks[[#This Row],[Duration]])&lt;=0,Tasks[[#This Row],[_LeafLateFinish]],WORKDAY.INTL(Tasks[[#This Row],[_LeafLateFinish]],-(Tasks[[#This Row],[Duration]]-1),WorkWeek,Holidays)))</f>
        <v/>
      </c>
      <c r="DC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6" s="100" t="b">
        <f aca="false">AND(Tasks[[#This Row],[_IsLeaf]]=1,Tasks[[#This Row],[_LeafProgress]]&lt;1,N(Tasks[[#This Row],[_LeafTotalSlack]])&lt;=CriticalSlackDays)</f>
        <v>0</v>
      </c>
      <c r="DE36" s="41" t="n">
        <f aca="false">IF(AND(Tasks[[#This Row],[_IsLeaf]]=1,Tasks[[#This Row],[_ConstraintCode]]=1,Tasks[[#This Row],[Mode]]&lt;&gt;"Manual",N(Tasks[[#This Row],[Actual Start]])=0),MAX(0,N(Tasks[[#This Row],[Free Slack]])),0)</f>
        <v>0</v>
      </c>
      <c r="DF36" s="101" t="str">
        <f aca="false">IF(NOT(Tasks[[#This Row],[_IsLeaf]]=1),"",IF(Tasks[[#This Row],[_AlapShift]]=0,Tasks[[#This Row],[_LeafCalcStart]],WORKDAY.INTL(Tasks[[#This Row],[_LeafCalcStart]],Tasks[[#This Row],[_AlapShift]],WorkWeek,Holidays)))</f>
        <v/>
      </c>
      <c r="DG36" s="101" t="str">
        <f aca="false">IF(NOT(Tasks[[#This Row],[_IsLeaf]]=1),"",IF(Tasks[[#This Row],[_AlapShift]]=0,Tasks[[#This Row],[_LeafCalcFinish]],WORKDAY.INTL(Tasks[[#This Row],[_LeafCalcFinish]],Tasks[[#This Row],[_AlapShift]],WorkWeek,Holidays)))</f>
        <v/>
      </c>
      <c r="DH36" s="101" t="str">
        <f aca="false">IF(NOT(Tasks[[#This Row],[_IsLeaf]]=1),"",IF(Tasks[[#This Row],[_AlapShift]]=0,Tasks[[#This Row],[_LeafFcstStart]],WORKDAY.INTL(Tasks[[#This Row],[_LeafFcstStart]],Tasks[[#This Row],[_AlapShift]],WorkWeek,Holidays)))</f>
        <v/>
      </c>
      <c r="DI36" s="101" t="str">
        <f aca="false">IF(NOT(Tasks[[#This Row],[_IsLeaf]]=1),"",IF(Tasks[[#This Row],[_AlapShift]]=0,Tasks[[#This Row],[_LeafFcstFinish]],WORKDAY.INTL(Tasks[[#This Row],[_LeafFcstFinish]],Tasks[[#This Row],[_AlapShift]],WorkWeek,Holidays)))</f>
        <v/>
      </c>
      <c r="DJ36" s="101" t="str">
        <f aca="false">IF(Tasks[[#This Row],[Task Name]]="","",IF(Tasks[[#This Row],[_IsSummary]],MIN(INDEX(Tasks[_ShownCalcStart],Tasks[[#This Row],[_Row]]+1):INDEX(Tasks[_ShownCalcStart],Tasks[[#This Row],[_Row]]+Tasks[[#This Row],[_Descendants]])),Tasks[[#This Row],[_ShownCalcStart]]))</f>
        <v/>
      </c>
      <c r="DK36" s="101" t="str">
        <f aca="false">IF(Tasks[[#This Row],[Task Name]]="","",IF(Tasks[[#This Row],[_IsSummary]],MAX(INDEX(Tasks[_ShownCalcFinish],Tasks[[#This Row],[_Row]]+1):INDEX(Tasks[_ShownCalcFinish],Tasks[[#This Row],[_Row]]+Tasks[[#This Row],[_Descendants]])),Tasks[[#This Row],[_ShownCalcFinish]]))</f>
        <v/>
      </c>
      <c r="D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6" s="41" t="n">
        <f aca="false">IF(AND(Tasks[[#This Row],[_IsLeaf]]=1,Tasks[[#This Row],[_LeafTotalWork]]&gt;0),NETWORKDAYS.INTL(ProjectStart,Tasks[[#This Row],[_ShownFcstStart]],WorkWeek,Holidays),0)</f>
        <v>0</v>
      </c>
      <c r="DY36" s="41" t="n">
        <f aca="false">IF(AND(Tasks[[#This Row],[_IsLeaf]]=1,Tasks[[#This Row],[_LeafTotalWork]]&gt;0),MAX(Tasks[[#This Row],[_StartWorkday]],NETWORKDAYS.INTL(ProjectStart,Tasks[[#This Row],[_ShownFcstFinish]],WorkWeek,Holidays)),0)</f>
        <v>0</v>
      </c>
      <c r="DZ36" s="41" t="n">
        <f aca="false">IF(AND(Tasks[[#This Row],[_IsLeaf]]=1,Tasks[[#This Row],[_LeafTotalWork]]&gt;0),Tasks[[#This Row],[_LeafWork]]/(Tasks[[#This Row],[_FinishWorkday]]-Tasks[[#This Row],[_StartWorkday]]+1),0)</f>
        <v>0</v>
      </c>
      <c r="EA36" s="41" t="n">
        <f aca="false">Tasks[[#This Row],[_WorkPerWorkday]]*(Tasks[[#This Row],[_StartWorkday]]-1)</f>
        <v>-0</v>
      </c>
      <c r="EB36" s="41" t="n">
        <f aca="false">IF(Tasks[[#This Row],[_IsLeaf]]=1,MAX(N(Tasks[[#This Row],[Duration]]),0.1),0)</f>
        <v>0</v>
      </c>
      <c r="EC36" s="41" t="n">
        <f aca="false">Tasks[[#This Row],[_WeightDur]]*Tasks[[#This Row],[_LeafProgress]]</f>
        <v>0</v>
      </c>
      <c r="ED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6" s="41" t="str">
        <f aca="false">IF(AND(Tasks[[#This Row],[_IsLeaf]]=1,N(Tasks[[#This Row],[Duration]])=0,Tasks[[#This Row],[_LeafProgress]]&lt;1),Tasks[[#This Row],[_ShownFcstFinish]]+Tasks[[#This Row],[_Row]]/100000,"")</f>
        <v/>
      </c>
      <c r="EF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6" s="41" t="n">
        <f aca="false">IF(NOT(Tasks[[#This Row],[_IsLeaf]]=1),0,IF(Tasks[[#This Row],[Baseline Cost]]="",Tasks[[#This Row],[_LeafTotalCost]],N(Tasks[[#This Row],[Baseline Cost]])))</f>
        <v>0</v>
      </c>
      <c r="EH36" s="41" t="n">
        <f aca="false">Tasks[[#This Row],[_LeafBudget]]*Tasks[[#This Row],[_PlannedPct]]</f>
        <v>0</v>
      </c>
      <c r="EI36" s="41" t="n">
        <f aca="false">Tasks[[#This Row],[_LeafBudget]]*Tasks[[#This Row],[_LeafProgress]]</f>
        <v>0</v>
      </c>
      <c r="EJ36" s="41" t="n">
        <f aca="false">IF(NOT(Tasks[[#This Row],[_IsLeaf]]=1),0,IF(Tasks[[#This Row],[Actual Cost]]="",Tasks[[#This Row],[_LeafTotalCost]]*Tasks[[#This Row],[_LeafProgress]],N(Tasks[[#This Row],[Actual Cost]])))</f>
        <v>0</v>
      </c>
      <c r="EK36" s="41" t="str">
        <f aca="false">IF(Tasks[[#This Row],[Task Name]]="","",LEFT(Tasks[[#This Row],[WBS]],FIND(".",Tasks[[#This Row],[WBS]]&amp;".")-1))</f>
        <v/>
      </c>
      <c r="EL36" s="41" t="str">
        <f aca="false">IF(AND(Tasks[[#This Row],[Task Name]]&lt;&gt;"",Tasks[[#This Row],[_Level]]=1),Tasks[[#This Row],[_Row]],"")</f>
        <v/>
      </c>
      <c r="EM36" s="41" t="str">
        <f aca="false">IF(AND(Tasks[[#This Row],[_IsLeaf]]=1,N(Tasks[[#This Row],[Duration]])=0),Tasks[[#This Row],[Planned Finish]]+Tasks[[#This Row],[_Row]]/100000,"")</f>
        <v/>
      </c>
      <c r="EN36" s="41" t="str">
        <f aca="false">IF(AND(Tasks[[#This Row],[_IsLeaf]]=1,Tasks[[#This Row],[_LeafProgress]]&lt;1,OR(N(Tasks[[#This Row],[Finish Var]])&gt;0,Tasks[[#This Row],[Status]]="Late Start")),MAX(0,Tasks[[#This Row],[Finish Var]])+1-Tasks[[#This Row],[_Row]]/1000000,"")</f>
        <v/>
      </c>
      <c r="EO36" s="41" t="str">
        <f aca="false">IF(AND(Tasks[[#This Row],[_IsLeaf]]=1,N(Tasks[[#This Row],[Actual Start]])=0,Tasks[[#This Row],[_ShownFcstStart]]&gt;=StatusDate,Tasks[[#This Row],[_ShownFcstStart]]&lt;=LookaheadEnd),Tasks[[#This Row],[_ShownFcstStart]]+Tasks[[#This Row],[_Row]]/100000,"")</f>
        <v/>
      </c>
      <c r="EP36" s="41" t="str">
        <f aca="false">IF(AND(Tasks[[#This Row],[_IsLeaf]]=1,Tasks[[#This Row],[_LeafProgress]]&lt;1,Tasks[[#This Row],[_ShownFcstFinish]]&gt;=StatusDate,Tasks[[#This Row],[_ShownFcstFinish]]&lt;=LookaheadEnd),Tasks[[#This Row],[_ShownFcstFinish]]+Tasks[[#This Row],[_Row]]/100000,"")</f>
        <v/>
      </c>
      <c r="EQ36" s="41" t="str">
        <f aca="false">IF(Tasks[[#This Row],[_LeafCritical]],Tasks[[#This Row],[_ShownFcstStart]]+Tasks[[#This Row],[_Row]]/100000,"")</f>
        <v/>
      </c>
      <c r="ER36" s="41" t="n">
        <f aca="false">Tasks[[#This Row],[_LeafWork]]*Tasks[[#This Row],[_LeafProgress]]</f>
        <v>0</v>
      </c>
      <c r="ES36" s="101" t="str">
        <f aca="false">IF(AND(Tasks[[#This Row],[_IsLeaf]]=1,Tasks[[#This Row],[_LeafProgress]]&gt;=1),IF(N(Tasks[[#This Row],[Actual Finish]])&gt;0,Tasks[[#This Row],[Actual Finish]],Tasks[[#This Row],[_ShownFcstFinish]]),"")</f>
        <v/>
      </c>
      <c r="ET36" s="41" t="n">
        <f aca="false">IF(Tasks[[#This Row],[_IsLeaf]]=1,N(Tasks[[#This Row],[Story Points]]),0)</f>
        <v>0</v>
      </c>
      <c r="EU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29"/>
      <c r="O37" s="29"/>
      <c r="P37" s="29"/>
      <c r="Q37" s="29"/>
      <c r="R37" s="29"/>
      <c r="S37" s="29"/>
      <c r="T37" s="30"/>
      <c r="U37" s="75"/>
      <c r="V37" s="75"/>
      <c r="W37" s="25" t="str">
        <f aca="false">IF(Tasks[[#This Row],[Task Name]]="","",IF(N(Tasks[[#This Row],[Baseline Start]])&gt;0,Tasks[[#This Row],[Baseline Start]],Tasks[[#This Row],[_CalcStart]]))</f>
        <v/>
      </c>
      <c r="X37" s="25" t="str">
        <f aca="false">IF(Tasks[[#This Row],[Task Name]]="","",IF(N(Tasks[[#This Row],[Baseline Finish]])&gt;0,Tasks[[#This Row],[Baseline Finish]],Tasks[[#This Row],[_CalcFinish]]))</f>
        <v/>
      </c>
      <c r="Y37" s="75"/>
      <c r="Z37" s="75"/>
      <c r="AA37" s="25" t="str">
        <f aca="false">IF(Tasks[[#This Row],[Task Name]]="","",IF(Tasks[[#This Row],[_IsSummary]],MIN(INDEX(Tasks[_ShownFcstStart],Tasks[[#This Row],[_Row]]+1):INDEX(Tasks[_ShownFcstStart],Tasks[[#This Row],[_Row]]+Tasks[[#This Row],[_Descendants]])),Tasks[[#This Row],[_ShownFcstStart]]))</f>
        <v/>
      </c>
      <c r="AB37" s="25" t="str">
        <f aca="false">IF(Tasks[[#This Row],[Task Name]]="","",IF(Tasks[[#This Row],[_IsSummary]],MAX(INDEX(Tasks[_ShownFcstFinish],Tasks[[#This Row],[_Row]]+1):INDEX(Tasks[_ShownFcstFinish],Tasks[[#This Row],[_Row]]+Tasks[[#This Row],[_Descendants]])),Tasks[[#This Row],[_ShownFcstFinish]]))</f>
        <v/>
      </c>
      <c r="AC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7" s="25" t="str">
        <f aca="false">IF(Tasks[[#This Row],[Task Name]]="","",IF(Tasks[[#This Row],[_IsSummary]],MIN(INDEX(Tasks[_LeafLateStart],Tasks[[#This Row],[_Row]]+1):INDEX(Tasks[_LeafLateStart],Tasks[[#This Row],[_Row]]+Tasks[[#This Row],[_Descendants]])),Tasks[[#This Row],[_LeafLateStart]]))</f>
        <v/>
      </c>
      <c r="AF37" s="25" t="str">
        <f aca="false">IF(Tasks[[#This Row],[Task Name]]="","",IF(Tasks[[#This Row],[_IsSummary]],MAX(INDEX(Tasks[_LeafLateFinish],Tasks[[#This Row],[_Row]]+1):INDEX(Tasks[_LeafLateFinish],Tasks[[#This Row],[_Row]]+Tasks[[#This Row],[_Descendants]])),Tasks[[#This Row],[_LeafLateFinish]]))</f>
        <v/>
      </c>
      <c r="AG37" s="28" t="str">
        <f aca="false">IF(Tasks[[#This Row],[Task Name]]="","",IF(Tasks[[#This Row],[_IsSummary]],MIN(INDEX(Tasks[_LeafTotalSlack],Tasks[[#This Row],[_Row]]+1):INDEX(Tasks[_LeafTotalSlack],Tasks[[#This Row],[_Row]]+Tasks[[#This Row],[_Descendants]])),Tasks[[#This Row],[_LeafTotalSlack]]))</f>
        <v/>
      </c>
      <c r="AH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7" s="28" t="str">
        <f aca="false">IF(Tasks[[#This Row],[Task Name]]="","",IF(IF(Tasks[[#This Row],[_IsSummary]],COUNTIF(INDEX(Tasks[_LeafCritical],Tasks[[#This Row],[_Row]]+1):INDEX(Tasks[_LeafCritical],Tasks[[#This Row],[_Row]]+Tasks[[#This Row],[_Descendants]]),TRUE())&gt;0,Tasks[[#This Row],[_LeafCritical]]),"Yes",""))</f>
        <v/>
      </c>
      <c r="AJ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7" s="89"/>
      <c r="AM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7" s="28" t="str">
        <f aca="false">IF(Tasks[[#This Row],[Task Name]]="","",IF(Tasks[[#This Row],[Progress]]&gt;=1,"Complete",IF(OR(N(Tasks[[#This Row],[Actual Start]])&gt;0,Tasks[[#This Row],[Progress]]&gt;0),IF(Tasks[[#This Row],[Finish Var]]&gt;0,"Behind","In Progress"),IF(Tasks[[#This Row],[Planned Start]]&lt;StatusDate,"Late Start","Not Started"))))</f>
        <v/>
      </c>
      <c r="AO37" s="30"/>
      <c r="AP37" s="89"/>
      <c r="AQ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7" s="96" t="str">
        <f aca="false">IF(Tasks[[#This Row],[Task Name]]="","",IF(Tasks[[#This Row],[_IsSummary]],SUM(INDEX(Tasks[_LeafTotalWork],Tasks[[#This Row],[_Row]]+1):INDEX(Tasks[_LeafTotalWork],Tasks[[#This Row],[_Row]]+Tasks[[#This Row],[_Descendants]])),Tasks[[#This Row],[_LeafTotalWork]]))</f>
        <v/>
      </c>
      <c r="AT37" s="97" t="str">
        <f aca="false">IF(Tasks[[#This Row],[Task Name]]="","",IF(Tasks[[#This Row],[_IsSummary]],SUM(INDEX(Tasks[_LeafTotalCost],Tasks[[#This Row],[_Row]]+1):INDEX(Tasks[_LeafTotalCost],Tasks[[#This Row],[_Row]]+Tasks[[#This Row],[_Descendants]])),Tasks[[#This Row],[_LeafTotalCost]]))</f>
        <v/>
      </c>
      <c r="AU37" s="98"/>
      <c r="AV37" s="29"/>
      <c r="AW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7" s="83"/>
      <c r="AY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7" s="30"/>
      <c r="BA37" s="25" t="str">
        <f aca="false">IF(Tasks[[#This Row],[Task Name]]="","",Tasks[[#This Row],[Forecast Start]])</f>
        <v/>
      </c>
      <c r="BB37" s="25" t="str">
        <f aca="false">IF(Tasks[[#This Row],[Task Name]]="","",Tasks[[#This Row],[Forecast Finish]])</f>
        <v/>
      </c>
      <c r="BC37" s="28" t="str">
        <f aca="false">IF(Tasks[[#This Row],[Task Name]]="","",IF(Tasks[[#This Row],[_IsSummary]],NETWORKDAYS.INTL(Tasks[[#This Row],[Forecast Start]],Tasks[[#This Row],[Forecast Finish]],WorkWeek,Holidays),N(Tasks[[#This Row],[Duration]])))</f>
        <v/>
      </c>
      <c r="BD37" s="96" t="str">
        <f aca="false">IF(Tasks[[#This Row],[Task Name]]="","",Tasks[[#This Row],[Work]])</f>
        <v/>
      </c>
      <c r="BE37" s="97" t="str">
        <f aca="false">IF(Tasks[[#This Row],[Task Name]]="","",Tasks[[#This Row],[Cost]])</f>
        <v/>
      </c>
      <c r="BF37" s="75"/>
      <c r="BG37" s="75"/>
      <c r="BH37" s="29"/>
      <c r="BI37" s="99"/>
      <c r="BJ37" s="98"/>
      <c r="BK37" s="28" t="str">
        <f aca="false">IF(OR(Tasks[[#This Row],[Task Name]]="",Tasks[[#This Row],[Baseline Duration]]=""),"",Tasks[[#This Row],[BL Source Duration]]-N(Tasks[[#This Row],[Baseline Duration]]))</f>
        <v/>
      </c>
      <c r="BL37" s="96" t="str">
        <f aca="false">IF(OR(Tasks[[#This Row],[Task Name]]="",Tasks[[#This Row],[Baseline Work]]=""),"",Tasks[[#This Row],[Work]]-N(Tasks[[#This Row],[Baseline Work]]))</f>
        <v/>
      </c>
      <c r="BM37" s="97" t="str">
        <f aca="false">IF(OR(Tasks[[#This Row],[Task Name]]="",Tasks[[#This Row],[Baseline Cost]]=""),"",Tasks[[#This Row],[Cost]]-N(Tasks[[#This Row],[Baseline Cost]]))</f>
        <v/>
      </c>
      <c r="BN37" s="97" t="str">
        <f aca="false">IF(Tasks[[#This Row],[Task Name]]="","",IF(Tasks[[#This Row],[_IsSummary]],SUM(INDEX(Tasks[_LeafBudget],Tasks[[#This Row],[_Row]]+1):INDEX(Tasks[_LeafBudget],Tasks[[#This Row],[_Row]]+Tasks[[#This Row],[_Descendants]])),Tasks[[#This Row],[_LeafBudget]]))</f>
        <v/>
      </c>
      <c r="BO37" s="97" t="str">
        <f aca="false">IF(Tasks[[#This Row],[Task Name]]="","",IF(Tasks[[#This Row],[_IsSummary]],SUM(INDEX(Tasks[_LeafPV],Tasks[[#This Row],[_Row]]+1):INDEX(Tasks[_LeafPV],Tasks[[#This Row],[_Row]]+Tasks[[#This Row],[_Descendants]])),Tasks[[#This Row],[_LeafPV]]))</f>
        <v/>
      </c>
      <c r="BP37" s="97" t="str">
        <f aca="false">IF(Tasks[[#This Row],[Task Name]]="","",IF(Tasks[[#This Row],[_IsSummary]],SUM(INDEX(Tasks[_LeafEV],Tasks[[#This Row],[_Row]]+1):INDEX(Tasks[_LeafEV],Tasks[[#This Row],[_Row]]+Tasks[[#This Row],[_Descendants]])),Tasks[[#This Row],[_LeafEV]]))</f>
        <v/>
      </c>
      <c r="BQ37" s="97" t="str">
        <f aca="false">IF(Tasks[[#This Row],[Task Name]]="","",IF(Tasks[[#This Row],[_IsSummary]],SUM(INDEX(Tasks[_LeafAC],Tasks[[#This Row],[_Row]]+1):INDEX(Tasks[_LeafAC],Tasks[[#This Row],[_Row]]+Tasks[[#This Row],[_Descendants]])),Tasks[[#This Row],[_LeafAC]]))</f>
        <v/>
      </c>
      <c r="BR37" s="41" t="str">
        <f aca="false">IF(Tasks[[#This Row],[Task Name]]="","",MAX(1,N(Tasks[[#This Row],[Level]])))</f>
        <v/>
      </c>
      <c r="BS37" s="41" t="n">
        <f aca="false">ROW()-ROW(Tasks[[#Headers],[ID]])</f>
        <v>32</v>
      </c>
      <c r="BT37" s="41" t="n">
        <f aca="false">IF(OR(Tasks[[#This Row],[Task Name]]="",Tasks[[#This Row],[_Level]]&lt;=1),0,IFERROR(LOOKUP(2,1/(Tasks[[#Headers],[_Level]]:Tasks[[#This Row],[_Level]]=Tasks[[#This Row],[_Level]]-1),ROW(Tasks[[#Headers],[_Level]]:Tasks[[#This Row],[_Level]])),0))</f>
        <v>0</v>
      </c>
      <c r="BU37" s="41" t="n">
        <f aca="false">IFERROR(N(INDEX(Tasks[_Level],Tasks[[#This Row],[_Row]]+1)),0)</f>
        <v>0</v>
      </c>
      <c r="BV37" s="100" t="b">
        <f aca="false">AND(Tasks[[#This Row],[Task Name]]&lt;&gt;"",Tasks[[#This Row],[_NextLevel]]&gt;Tasks[[#This Row],[_Level]])</f>
        <v>0</v>
      </c>
      <c r="BW37" s="41" t="n">
        <f aca="false">IF(Tasks[[#This Row],[_IsSummary]],COUNTIF(Tasks[WBS],Tasks[[#This Row],[WBS]]&amp;".*"),0)</f>
        <v>0</v>
      </c>
      <c r="BX37" s="41" t="n">
        <f aca="false">IF(AND(Tasks[[#This Row],[Task Name]]&lt;&gt;"",NOT(Tasks[[#This Row],[_IsSummary]])),1,0)</f>
        <v>0</v>
      </c>
      <c r="BY37" s="41" t="n">
        <f aca="false">IF(N(Tasks[[#This Row],[Pred1 UID]])=0,0,IFERROR(MATCH(Tasks[[#This Row],[Pred1 UID]],Tasks[UID],0),-1))</f>
        <v>0</v>
      </c>
      <c r="BZ37" s="41" t="n">
        <f aca="false">IF(N(Tasks[[#This Row],[Pred2 UID]])=0,0,IFERROR(MATCH(Tasks[[#This Row],[Pred2 UID]],Tasks[UID],0),-1))</f>
        <v>0</v>
      </c>
      <c r="CA37" s="41" t="n">
        <f aca="false">IF(N(Tasks[[#This Row],[Pred3 UID]])=0,0,IFERROR(MATCH(Tasks[[#This Row],[Pred3 UID]],Tasks[UID],0),-1))</f>
        <v>0</v>
      </c>
      <c r="CB37" s="41" t="n">
        <f aca="false">IF(N(Tasks[[#This Row],[Pred4 UID]])=0,0,IFERROR(MATCH(Tasks[[#This Row],[Pred4 UID]],Tasks[UID],0),-1))</f>
        <v>0</v>
      </c>
      <c r="CC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7" s="101" t="n">
        <f aca="false">IF(OR(Tasks[[#This Row],[_ConstraintCode]]=2,Tasks[[#This Row],[_ConstraintCode]]=3,Tasks[[#This Row],[_ConstraintCode]]=4,Tasks[[#This Row],[_ConstraintCode]]=6),Tasks[[#This Row],[_ConstraintStart]],0)</f>
        <v>0</v>
      </c>
      <c r="CF37" s="101" t="n">
        <f aca="false">IF(OR(Tasks[[#This Row],[_ConstraintCode]]=2,Tasks[[#This Row],[_ConstraintCode]]=3,Tasks[[#This Row],[_ConstraintCode]]=5,Tasks[[#This Row],[_ConstraintCode]]=7),Tasks[[#This Row],[_ConstraintStart]],2958465)</f>
        <v>2958465</v>
      </c>
      <c r="CG3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7" s="101" t="str">
        <f aca="false">IF(NOT(Tasks[[#This Row],[_IsLeaf]]=1),"",IF(N(Tasks[[#This Row],[Duration]])&lt;=0,Tasks[[#This Row],[_LeafCalcStart]],WORKDAY.INTL(Tasks[[#This Row],[_LeafCalcStart]],Tasks[[#This Row],[Duration]]-1,WorkWeek,Holidays)))</f>
        <v/>
      </c>
      <c r="CI3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7" s="41" t="n">
        <f aca="false">IF(NOT(Tasks[[#This Row],[_IsLeaf]]=1),0,IF(N(Tasks[[#This Row],[Actual Finish]])&gt;0,1,MIN(1,N(Tasks[[#This Row],[% Complete]]))))</f>
        <v>0</v>
      </c>
      <c r="CL37" s="41" t="n">
        <f aca="false">IF(OR(NOT(Tasks[[#This Row],[_IsLeaf]]=1),Tasks[[#This Row],[Resource]]=""),0,N(Tasks[[#This Row],[Duration]])*HoursPerDay*IF(Tasks[[#This Row],[Units]]="",DefaultUnits,Tasks[[#This Row],[Units]]))</f>
        <v>0</v>
      </c>
      <c r="CM37" s="41" t="n">
        <f aca="false">IF(Tasks[[#This Row],[_LeafWork]]=0,0,Tasks[[#This Row],[_LeafWork]]*IFERROR(INDEX(res_Rate,MATCH(Tasks[[#This Row],[Resource]],res_Name,0)),0))</f>
        <v>0</v>
      </c>
      <c r="CN37" s="41" t="n">
        <f aca="false">Tasks[[#This Row],[_LeafWork]]+IF(Tasks[[#This Row],[_IsLeaf]]=1,SUMIFS(asg_Work,asg_TaskUID,Tasks[[#This Row],[UID]],asg_Valid,1),0)</f>
        <v>0</v>
      </c>
      <c r="CO37" s="41" t="n">
        <f aca="false">Tasks[[#This Row],[_LeafCost]]+IF(Tasks[[#This Row],[_IsLeaf]]=1,SUMIFS(asg_Cost,asg_TaskUID,Tasks[[#This Row],[UID]],asg_Valid,1),0)</f>
        <v>0</v>
      </c>
      <c r="CP37" s="41" t="n">
        <f aca="false">IF(Tasks[[#This Row],[_LeafTotalCost]]=0,Tasks[[#This Row],[_LeafAC]],Tasks[[#This Row],[_LeafAC]]*Tasks[[#This Row],[_LeafCost]]/Tasks[[#This Row],[_LeafTotalCost]])</f>
        <v>0</v>
      </c>
      <c r="CQ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7" s="41" t="n">
        <f aca="false">IF(NOT(Tasks[[#This Row],[_IsLeaf]]=1),0,MAX(_xlfn.MAXIFS(Tasks[_Row],Tasks[Pred1 UID],Tasks[[#This Row],[UID]]),_xlfn.MAXIFS(Tasks[_Row],Tasks[Pred2 UID],Tasks[[#This Row],[UID]]),_xlfn.MAXIFS(Tasks[_Row],Tasks[Pred3 UID],Tasks[[#This Row],[UID]]),_xlfn.MAXIFS(Tasks[_Row],Tasks[Pred4 UID],Tasks[[#This Row],[UID]])))</f>
        <v>0</v>
      </c>
      <c r="CZ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7" s="101" t="str">
        <f aca="false">IF(NOT(Tasks[[#This Row],[_IsLeaf]]=1),"",IF(N(Tasks[[#This Row],[Duration]])&lt;=0,Tasks[[#This Row],[_LeafLateFinish]],WORKDAY.INTL(Tasks[[#This Row],[_LeafLateFinish]],-(Tasks[[#This Row],[Duration]]-1),WorkWeek,Holidays)))</f>
        <v/>
      </c>
      <c r="DC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7" s="100" t="b">
        <f aca="false">AND(Tasks[[#This Row],[_IsLeaf]]=1,Tasks[[#This Row],[_LeafProgress]]&lt;1,N(Tasks[[#This Row],[_LeafTotalSlack]])&lt;=CriticalSlackDays)</f>
        <v>0</v>
      </c>
      <c r="DE37" s="41" t="n">
        <f aca="false">IF(AND(Tasks[[#This Row],[_IsLeaf]]=1,Tasks[[#This Row],[_ConstraintCode]]=1,Tasks[[#This Row],[Mode]]&lt;&gt;"Manual",N(Tasks[[#This Row],[Actual Start]])=0),MAX(0,N(Tasks[[#This Row],[Free Slack]])),0)</f>
        <v>0</v>
      </c>
      <c r="DF37" s="101" t="str">
        <f aca="false">IF(NOT(Tasks[[#This Row],[_IsLeaf]]=1),"",IF(Tasks[[#This Row],[_AlapShift]]=0,Tasks[[#This Row],[_LeafCalcStart]],WORKDAY.INTL(Tasks[[#This Row],[_LeafCalcStart]],Tasks[[#This Row],[_AlapShift]],WorkWeek,Holidays)))</f>
        <v/>
      </c>
      <c r="DG37" s="101" t="str">
        <f aca="false">IF(NOT(Tasks[[#This Row],[_IsLeaf]]=1),"",IF(Tasks[[#This Row],[_AlapShift]]=0,Tasks[[#This Row],[_LeafCalcFinish]],WORKDAY.INTL(Tasks[[#This Row],[_LeafCalcFinish]],Tasks[[#This Row],[_AlapShift]],WorkWeek,Holidays)))</f>
        <v/>
      </c>
      <c r="DH37" s="101" t="str">
        <f aca="false">IF(NOT(Tasks[[#This Row],[_IsLeaf]]=1),"",IF(Tasks[[#This Row],[_AlapShift]]=0,Tasks[[#This Row],[_LeafFcstStart]],WORKDAY.INTL(Tasks[[#This Row],[_LeafFcstStart]],Tasks[[#This Row],[_AlapShift]],WorkWeek,Holidays)))</f>
        <v/>
      </c>
      <c r="DI37" s="101" t="str">
        <f aca="false">IF(NOT(Tasks[[#This Row],[_IsLeaf]]=1),"",IF(Tasks[[#This Row],[_AlapShift]]=0,Tasks[[#This Row],[_LeafFcstFinish]],WORKDAY.INTL(Tasks[[#This Row],[_LeafFcstFinish]],Tasks[[#This Row],[_AlapShift]],WorkWeek,Holidays)))</f>
        <v/>
      </c>
      <c r="DJ37" s="101" t="str">
        <f aca="false">IF(Tasks[[#This Row],[Task Name]]="","",IF(Tasks[[#This Row],[_IsSummary]],MIN(INDEX(Tasks[_ShownCalcStart],Tasks[[#This Row],[_Row]]+1):INDEX(Tasks[_ShownCalcStart],Tasks[[#This Row],[_Row]]+Tasks[[#This Row],[_Descendants]])),Tasks[[#This Row],[_ShownCalcStart]]))</f>
        <v/>
      </c>
      <c r="DK37" s="101" t="str">
        <f aca="false">IF(Tasks[[#This Row],[Task Name]]="","",IF(Tasks[[#This Row],[_IsSummary]],MAX(INDEX(Tasks[_ShownCalcFinish],Tasks[[#This Row],[_Row]]+1):INDEX(Tasks[_ShownCalcFinish],Tasks[[#This Row],[_Row]]+Tasks[[#This Row],[_Descendants]])),Tasks[[#This Row],[_ShownCalcFinish]]))</f>
        <v/>
      </c>
      <c r="D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7" s="41" t="n">
        <f aca="false">IF(AND(Tasks[[#This Row],[_IsLeaf]]=1,Tasks[[#This Row],[_LeafTotalWork]]&gt;0),NETWORKDAYS.INTL(ProjectStart,Tasks[[#This Row],[_ShownFcstStart]],WorkWeek,Holidays),0)</f>
        <v>0</v>
      </c>
      <c r="DY37" s="41" t="n">
        <f aca="false">IF(AND(Tasks[[#This Row],[_IsLeaf]]=1,Tasks[[#This Row],[_LeafTotalWork]]&gt;0),MAX(Tasks[[#This Row],[_StartWorkday]],NETWORKDAYS.INTL(ProjectStart,Tasks[[#This Row],[_ShownFcstFinish]],WorkWeek,Holidays)),0)</f>
        <v>0</v>
      </c>
      <c r="DZ37" s="41" t="n">
        <f aca="false">IF(AND(Tasks[[#This Row],[_IsLeaf]]=1,Tasks[[#This Row],[_LeafTotalWork]]&gt;0),Tasks[[#This Row],[_LeafWork]]/(Tasks[[#This Row],[_FinishWorkday]]-Tasks[[#This Row],[_StartWorkday]]+1),0)</f>
        <v>0</v>
      </c>
      <c r="EA37" s="41" t="n">
        <f aca="false">Tasks[[#This Row],[_WorkPerWorkday]]*(Tasks[[#This Row],[_StartWorkday]]-1)</f>
        <v>-0</v>
      </c>
      <c r="EB37" s="41" t="n">
        <f aca="false">IF(Tasks[[#This Row],[_IsLeaf]]=1,MAX(N(Tasks[[#This Row],[Duration]]),0.1),0)</f>
        <v>0</v>
      </c>
      <c r="EC37" s="41" t="n">
        <f aca="false">Tasks[[#This Row],[_WeightDur]]*Tasks[[#This Row],[_LeafProgress]]</f>
        <v>0</v>
      </c>
      <c r="ED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7" s="41" t="str">
        <f aca="false">IF(AND(Tasks[[#This Row],[_IsLeaf]]=1,N(Tasks[[#This Row],[Duration]])=0,Tasks[[#This Row],[_LeafProgress]]&lt;1),Tasks[[#This Row],[_ShownFcstFinish]]+Tasks[[#This Row],[_Row]]/100000,"")</f>
        <v/>
      </c>
      <c r="EF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7" s="41" t="n">
        <f aca="false">IF(NOT(Tasks[[#This Row],[_IsLeaf]]=1),0,IF(Tasks[[#This Row],[Baseline Cost]]="",Tasks[[#This Row],[_LeafTotalCost]],N(Tasks[[#This Row],[Baseline Cost]])))</f>
        <v>0</v>
      </c>
      <c r="EH37" s="41" t="n">
        <f aca="false">Tasks[[#This Row],[_LeafBudget]]*Tasks[[#This Row],[_PlannedPct]]</f>
        <v>0</v>
      </c>
      <c r="EI37" s="41" t="n">
        <f aca="false">Tasks[[#This Row],[_LeafBudget]]*Tasks[[#This Row],[_LeafProgress]]</f>
        <v>0</v>
      </c>
      <c r="EJ37" s="41" t="n">
        <f aca="false">IF(NOT(Tasks[[#This Row],[_IsLeaf]]=1),0,IF(Tasks[[#This Row],[Actual Cost]]="",Tasks[[#This Row],[_LeafTotalCost]]*Tasks[[#This Row],[_LeafProgress]],N(Tasks[[#This Row],[Actual Cost]])))</f>
        <v>0</v>
      </c>
      <c r="EK37" s="41" t="str">
        <f aca="false">IF(Tasks[[#This Row],[Task Name]]="","",LEFT(Tasks[[#This Row],[WBS]],FIND(".",Tasks[[#This Row],[WBS]]&amp;".")-1))</f>
        <v/>
      </c>
      <c r="EL37" s="41" t="str">
        <f aca="false">IF(AND(Tasks[[#This Row],[Task Name]]&lt;&gt;"",Tasks[[#This Row],[_Level]]=1),Tasks[[#This Row],[_Row]],"")</f>
        <v/>
      </c>
      <c r="EM37" s="41" t="str">
        <f aca="false">IF(AND(Tasks[[#This Row],[_IsLeaf]]=1,N(Tasks[[#This Row],[Duration]])=0),Tasks[[#This Row],[Planned Finish]]+Tasks[[#This Row],[_Row]]/100000,"")</f>
        <v/>
      </c>
      <c r="EN37" s="41" t="str">
        <f aca="false">IF(AND(Tasks[[#This Row],[_IsLeaf]]=1,Tasks[[#This Row],[_LeafProgress]]&lt;1,OR(N(Tasks[[#This Row],[Finish Var]])&gt;0,Tasks[[#This Row],[Status]]="Late Start")),MAX(0,Tasks[[#This Row],[Finish Var]])+1-Tasks[[#This Row],[_Row]]/1000000,"")</f>
        <v/>
      </c>
      <c r="EO37" s="41" t="str">
        <f aca="false">IF(AND(Tasks[[#This Row],[_IsLeaf]]=1,N(Tasks[[#This Row],[Actual Start]])=0,Tasks[[#This Row],[_ShownFcstStart]]&gt;=StatusDate,Tasks[[#This Row],[_ShownFcstStart]]&lt;=LookaheadEnd),Tasks[[#This Row],[_ShownFcstStart]]+Tasks[[#This Row],[_Row]]/100000,"")</f>
        <v/>
      </c>
      <c r="EP37" s="41" t="str">
        <f aca="false">IF(AND(Tasks[[#This Row],[_IsLeaf]]=1,Tasks[[#This Row],[_LeafProgress]]&lt;1,Tasks[[#This Row],[_ShownFcstFinish]]&gt;=StatusDate,Tasks[[#This Row],[_ShownFcstFinish]]&lt;=LookaheadEnd),Tasks[[#This Row],[_ShownFcstFinish]]+Tasks[[#This Row],[_Row]]/100000,"")</f>
        <v/>
      </c>
      <c r="EQ37" s="41" t="str">
        <f aca="false">IF(Tasks[[#This Row],[_LeafCritical]],Tasks[[#This Row],[_ShownFcstStart]]+Tasks[[#This Row],[_Row]]/100000,"")</f>
        <v/>
      </c>
      <c r="ER37" s="41" t="n">
        <f aca="false">Tasks[[#This Row],[_LeafWork]]*Tasks[[#This Row],[_LeafProgress]]</f>
        <v>0</v>
      </c>
      <c r="ES37" s="101" t="str">
        <f aca="false">IF(AND(Tasks[[#This Row],[_IsLeaf]]=1,Tasks[[#This Row],[_LeafProgress]]&gt;=1),IF(N(Tasks[[#This Row],[Actual Finish]])&gt;0,Tasks[[#This Row],[Actual Finish]],Tasks[[#This Row],[_ShownFcstFinish]]),"")</f>
        <v/>
      </c>
      <c r="ET37" s="41" t="n">
        <f aca="false">IF(Tasks[[#This Row],[_IsLeaf]]=1,N(Tasks[[#This Row],[Story Points]]),0)</f>
        <v>0</v>
      </c>
      <c r="EU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29"/>
      <c r="O38" s="29"/>
      <c r="P38" s="29"/>
      <c r="Q38" s="29"/>
      <c r="R38" s="29"/>
      <c r="S38" s="29"/>
      <c r="T38" s="30"/>
      <c r="U38" s="75"/>
      <c r="V38" s="75"/>
      <c r="W38" s="25" t="str">
        <f aca="false">IF(Tasks[[#This Row],[Task Name]]="","",IF(N(Tasks[[#This Row],[Baseline Start]])&gt;0,Tasks[[#This Row],[Baseline Start]],Tasks[[#This Row],[_CalcStart]]))</f>
        <v/>
      </c>
      <c r="X38" s="25" t="str">
        <f aca="false">IF(Tasks[[#This Row],[Task Name]]="","",IF(N(Tasks[[#This Row],[Baseline Finish]])&gt;0,Tasks[[#This Row],[Baseline Finish]],Tasks[[#This Row],[_CalcFinish]]))</f>
        <v/>
      </c>
      <c r="Y38" s="75"/>
      <c r="Z38" s="75"/>
      <c r="AA38" s="25" t="str">
        <f aca="false">IF(Tasks[[#This Row],[Task Name]]="","",IF(Tasks[[#This Row],[_IsSummary]],MIN(INDEX(Tasks[_ShownFcstStart],Tasks[[#This Row],[_Row]]+1):INDEX(Tasks[_ShownFcstStart],Tasks[[#This Row],[_Row]]+Tasks[[#This Row],[_Descendants]])),Tasks[[#This Row],[_ShownFcstStart]]))</f>
        <v/>
      </c>
      <c r="AB38" s="25" t="str">
        <f aca="false">IF(Tasks[[#This Row],[Task Name]]="","",IF(Tasks[[#This Row],[_IsSummary]],MAX(INDEX(Tasks[_ShownFcstFinish],Tasks[[#This Row],[_Row]]+1):INDEX(Tasks[_ShownFcstFinish],Tasks[[#This Row],[_Row]]+Tasks[[#This Row],[_Descendants]])),Tasks[[#This Row],[_ShownFcstFinish]]))</f>
        <v/>
      </c>
      <c r="AC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8" s="25" t="str">
        <f aca="false">IF(Tasks[[#This Row],[Task Name]]="","",IF(Tasks[[#This Row],[_IsSummary]],MIN(INDEX(Tasks[_LeafLateStart],Tasks[[#This Row],[_Row]]+1):INDEX(Tasks[_LeafLateStart],Tasks[[#This Row],[_Row]]+Tasks[[#This Row],[_Descendants]])),Tasks[[#This Row],[_LeafLateStart]]))</f>
        <v/>
      </c>
      <c r="AF38" s="25" t="str">
        <f aca="false">IF(Tasks[[#This Row],[Task Name]]="","",IF(Tasks[[#This Row],[_IsSummary]],MAX(INDEX(Tasks[_LeafLateFinish],Tasks[[#This Row],[_Row]]+1):INDEX(Tasks[_LeafLateFinish],Tasks[[#This Row],[_Row]]+Tasks[[#This Row],[_Descendants]])),Tasks[[#This Row],[_LeafLateFinish]]))</f>
        <v/>
      </c>
      <c r="AG38" s="28" t="str">
        <f aca="false">IF(Tasks[[#This Row],[Task Name]]="","",IF(Tasks[[#This Row],[_IsSummary]],MIN(INDEX(Tasks[_LeafTotalSlack],Tasks[[#This Row],[_Row]]+1):INDEX(Tasks[_LeafTotalSlack],Tasks[[#This Row],[_Row]]+Tasks[[#This Row],[_Descendants]])),Tasks[[#This Row],[_LeafTotalSlack]]))</f>
        <v/>
      </c>
      <c r="AH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8" s="28" t="str">
        <f aca="false">IF(Tasks[[#This Row],[Task Name]]="","",IF(IF(Tasks[[#This Row],[_IsSummary]],COUNTIF(INDEX(Tasks[_LeafCritical],Tasks[[#This Row],[_Row]]+1):INDEX(Tasks[_LeafCritical],Tasks[[#This Row],[_Row]]+Tasks[[#This Row],[_Descendants]]),TRUE())&gt;0,Tasks[[#This Row],[_LeafCritical]]),"Yes",""))</f>
        <v/>
      </c>
      <c r="AJ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8" s="89"/>
      <c r="AM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8" s="28" t="str">
        <f aca="false">IF(Tasks[[#This Row],[Task Name]]="","",IF(Tasks[[#This Row],[Progress]]&gt;=1,"Complete",IF(OR(N(Tasks[[#This Row],[Actual Start]])&gt;0,Tasks[[#This Row],[Progress]]&gt;0),IF(Tasks[[#This Row],[Finish Var]]&gt;0,"Behind","In Progress"),IF(Tasks[[#This Row],[Planned Start]]&lt;StatusDate,"Late Start","Not Started"))))</f>
        <v/>
      </c>
      <c r="AO38" s="30"/>
      <c r="AP38" s="89"/>
      <c r="AQ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8" s="96" t="str">
        <f aca="false">IF(Tasks[[#This Row],[Task Name]]="","",IF(Tasks[[#This Row],[_IsSummary]],SUM(INDEX(Tasks[_LeafTotalWork],Tasks[[#This Row],[_Row]]+1):INDEX(Tasks[_LeafTotalWork],Tasks[[#This Row],[_Row]]+Tasks[[#This Row],[_Descendants]])),Tasks[[#This Row],[_LeafTotalWork]]))</f>
        <v/>
      </c>
      <c r="AT38" s="97" t="str">
        <f aca="false">IF(Tasks[[#This Row],[Task Name]]="","",IF(Tasks[[#This Row],[_IsSummary]],SUM(INDEX(Tasks[_LeafTotalCost],Tasks[[#This Row],[_Row]]+1):INDEX(Tasks[_LeafTotalCost],Tasks[[#This Row],[_Row]]+Tasks[[#This Row],[_Descendants]])),Tasks[[#This Row],[_LeafTotalCost]]))</f>
        <v/>
      </c>
      <c r="AU38" s="98"/>
      <c r="AV38" s="29"/>
      <c r="AW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8" s="83"/>
      <c r="AY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8" s="30"/>
      <c r="BA38" s="25" t="str">
        <f aca="false">IF(Tasks[[#This Row],[Task Name]]="","",Tasks[[#This Row],[Forecast Start]])</f>
        <v/>
      </c>
      <c r="BB38" s="25" t="str">
        <f aca="false">IF(Tasks[[#This Row],[Task Name]]="","",Tasks[[#This Row],[Forecast Finish]])</f>
        <v/>
      </c>
      <c r="BC38" s="28" t="str">
        <f aca="false">IF(Tasks[[#This Row],[Task Name]]="","",IF(Tasks[[#This Row],[_IsSummary]],NETWORKDAYS.INTL(Tasks[[#This Row],[Forecast Start]],Tasks[[#This Row],[Forecast Finish]],WorkWeek,Holidays),N(Tasks[[#This Row],[Duration]])))</f>
        <v/>
      </c>
      <c r="BD38" s="96" t="str">
        <f aca="false">IF(Tasks[[#This Row],[Task Name]]="","",Tasks[[#This Row],[Work]])</f>
        <v/>
      </c>
      <c r="BE38" s="97" t="str">
        <f aca="false">IF(Tasks[[#This Row],[Task Name]]="","",Tasks[[#This Row],[Cost]])</f>
        <v/>
      </c>
      <c r="BF38" s="75"/>
      <c r="BG38" s="75"/>
      <c r="BH38" s="29"/>
      <c r="BI38" s="99"/>
      <c r="BJ38" s="98"/>
      <c r="BK38" s="28" t="str">
        <f aca="false">IF(OR(Tasks[[#This Row],[Task Name]]="",Tasks[[#This Row],[Baseline Duration]]=""),"",Tasks[[#This Row],[BL Source Duration]]-N(Tasks[[#This Row],[Baseline Duration]]))</f>
        <v/>
      </c>
      <c r="BL38" s="96" t="str">
        <f aca="false">IF(OR(Tasks[[#This Row],[Task Name]]="",Tasks[[#This Row],[Baseline Work]]=""),"",Tasks[[#This Row],[Work]]-N(Tasks[[#This Row],[Baseline Work]]))</f>
        <v/>
      </c>
      <c r="BM38" s="97" t="str">
        <f aca="false">IF(OR(Tasks[[#This Row],[Task Name]]="",Tasks[[#This Row],[Baseline Cost]]=""),"",Tasks[[#This Row],[Cost]]-N(Tasks[[#This Row],[Baseline Cost]]))</f>
        <v/>
      </c>
      <c r="BN38" s="97" t="str">
        <f aca="false">IF(Tasks[[#This Row],[Task Name]]="","",IF(Tasks[[#This Row],[_IsSummary]],SUM(INDEX(Tasks[_LeafBudget],Tasks[[#This Row],[_Row]]+1):INDEX(Tasks[_LeafBudget],Tasks[[#This Row],[_Row]]+Tasks[[#This Row],[_Descendants]])),Tasks[[#This Row],[_LeafBudget]]))</f>
        <v/>
      </c>
      <c r="BO38" s="97" t="str">
        <f aca="false">IF(Tasks[[#This Row],[Task Name]]="","",IF(Tasks[[#This Row],[_IsSummary]],SUM(INDEX(Tasks[_LeafPV],Tasks[[#This Row],[_Row]]+1):INDEX(Tasks[_LeafPV],Tasks[[#This Row],[_Row]]+Tasks[[#This Row],[_Descendants]])),Tasks[[#This Row],[_LeafPV]]))</f>
        <v/>
      </c>
      <c r="BP38" s="97" t="str">
        <f aca="false">IF(Tasks[[#This Row],[Task Name]]="","",IF(Tasks[[#This Row],[_IsSummary]],SUM(INDEX(Tasks[_LeafEV],Tasks[[#This Row],[_Row]]+1):INDEX(Tasks[_LeafEV],Tasks[[#This Row],[_Row]]+Tasks[[#This Row],[_Descendants]])),Tasks[[#This Row],[_LeafEV]]))</f>
        <v/>
      </c>
      <c r="BQ38" s="97" t="str">
        <f aca="false">IF(Tasks[[#This Row],[Task Name]]="","",IF(Tasks[[#This Row],[_IsSummary]],SUM(INDEX(Tasks[_LeafAC],Tasks[[#This Row],[_Row]]+1):INDEX(Tasks[_LeafAC],Tasks[[#This Row],[_Row]]+Tasks[[#This Row],[_Descendants]])),Tasks[[#This Row],[_LeafAC]]))</f>
        <v/>
      </c>
      <c r="BR38" s="41" t="str">
        <f aca="false">IF(Tasks[[#This Row],[Task Name]]="","",MAX(1,N(Tasks[[#This Row],[Level]])))</f>
        <v/>
      </c>
      <c r="BS38" s="41" t="n">
        <f aca="false">ROW()-ROW(Tasks[[#Headers],[ID]])</f>
        <v>33</v>
      </c>
      <c r="BT38" s="41" t="n">
        <f aca="false">IF(OR(Tasks[[#This Row],[Task Name]]="",Tasks[[#This Row],[_Level]]&lt;=1),0,IFERROR(LOOKUP(2,1/(Tasks[[#Headers],[_Level]]:Tasks[[#This Row],[_Level]]=Tasks[[#This Row],[_Level]]-1),ROW(Tasks[[#Headers],[_Level]]:Tasks[[#This Row],[_Level]])),0))</f>
        <v>0</v>
      </c>
      <c r="BU38" s="41" t="n">
        <f aca="false">IFERROR(N(INDEX(Tasks[_Level],Tasks[[#This Row],[_Row]]+1)),0)</f>
        <v>0</v>
      </c>
      <c r="BV38" s="100" t="b">
        <f aca="false">AND(Tasks[[#This Row],[Task Name]]&lt;&gt;"",Tasks[[#This Row],[_NextLevel]]&gt;Tasks[[#This Row],[_Level]])</f>
        <v>0</v>
      </c>
      <c r="BW38" s="41" t="n">
        <f aca="false">IF(Tasks[[#This Row],[_IsSummary]],COUNTIF(Tasks[WBS],Tasks[[#This Row],[WBS]]&amp;".*"),0)</f>
        <v>0</v>
      </c>
      <c r="BX38" s="41" t="n">
        <f aca="false">IF(AND(Tasks[[#This Row],[Task Name]]&lt;&gt;"",NOT(Tasks[[#This Row],[_IsSummary]])),1,0)</f>
        <v>0</v>
      </c>
      <c r="BY38" s="41" t="n">
        <f aca="false">IF(N(Tasks[[#This Row],[Pred1 UID]])=0,0,IFERROR(MATCH(Tasks[[#This Row],[Pred1 UID]],Tasks[UID],0),-1))</f>
        <v>0</v>
      </c>
      <c r="BZ38" s="41" t="n">
        <f aca="false">IF(N(Tasks[[#This Row],[Pred2 UID]])=0,0,IFERROR(MATCH(Tasks[[#This Row],[Pred2 UID]],Tasks[UID],0),-1))</f>
        <v>0</v>
      </c>
      <c r="CA38" s="41" t="n">
        <f aca="false">IF(N(Tasks[[#This Row],[Pred3 UID]])=0,0,IFERROR(MATCH(Tasks[[#This Row],[Pred3 UID]],Tasks[UID],0),-1))</f>
        <v>0</v>
      </c>
      <c r="CB38" s="41" t="n">
        <f aca="false">IF(N(Tasks[[#This Row],[Pred4 UID]])=0,0,IFERROR(MATCH(Tasks[[#This Row],[Pred4 UID]],Tasks[UID],0),-1))</f>
        <v>0</v>
      </c>
      <c r="CC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8" s="101" t="n">
        <f aca="false">IF(OR(Tasks[[#This Row],[_ConstraintCode]]=2,Tasks[[#This Row],[_ConstraintCode]]=3,Tasks[[#This Row],[_ConstraintCode]]=4,Tasks[[#This Row],[_ConstraintCode]]=6),Tasks[[#This Row],[_ConstraintStart]],0)</f>
        <v>0</v>
      </c>
      <c r="CF38" s="101" t="n">
        <f aca="false">IF(OR(Tasks[[#This Row],[_ConstraintCode]]=2,Tasks[[#This Row],[_ConstraintCode]]=3,Tasks[[#This Row],[_ConstraintCode]]=5,Tasks[[#This Row],[_ConstraintCode]]=7),Tasks[[#This Row],[_ConstraintStart]],2958465)</f>
        <v>2958465</v>
      </c>
      <c r="CG3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8" s="101" t="str">
        <f aca="false">IF(NOT(Tasks[[#This Row],[_IsLeaf]]=1),"",IF(N(Tasks[[#This Row],[Duration]])&lt;=0,Tasks[[#This Row],[_LeafCalcStart]],WORKDAY.INTL(Tasks[[#This Row],[_LeafCalcStart]],Tasks[[#This Row],[Duration]]-1,WorkWeek,Holidays)))</f>
        <v/>
      </c>
      <c r="CI3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8" s="41" t="n">
        <f aca="false">IF(NOT(Tasks[[#This Row],[_IsLeaf]]=1),0,IF(N(Tasks[[#This Row],[Actual Finish]])&gt;0,1,MIN(1,N(Tasks[[#This Row],[% Complete]]))))</f>
        <v>0</v>
      </c>
      <c r="CL38" s="41" t="n">
        <f aca="false">IF(OR(NOT(Tasks[[#This Row],[_IsLeaf]]=1),Tasks[[#This Row],[Resource]]=""),0,N(Tasks[[#This Row],[Duration]])*HoursPerDay*IF(Tasks[[#This Row],[Units]]="",DefaultUnits,Tasks[[#This Row],[Units]]))</f>
        <v>0</v>
      </c>
      <c r="CM38" s="41" t="n">
        <f aca="false">IF(Tasks[[#This Row],[_LeafWork]]=0,0,Tasks[[#This Row],[_LeafWork]]*IFERROR(INDEX(res_Rate,MATCH(Tasks[[#This Row],[Resource]],res_Name,0)),0))</f>
        <v>0</v>
      </c>
      <c r="CN38" s="41" t="n">
        <f aca="false">Tasks[[#This Row],[_LeafWork]]+IF(Tasks[[#This Row],[_IsLeaf]]=1,SUMIFS(asg_Work,asg_TaskUID,Tasks[[#This Row],[UID]],asg_Valid,1),0)</f>
        <v>0</v>
      </c>
      <c r="CO38" s="41" t="n">
        <f aca="false">Tasks[[#This Row],[_LeafCost]]+IF(Tasks[[#This Row],[_IsLeaf]]=1,SUMIFS(asg_Cost,asg_TaskUID,Tasks[[#This Row],[UID]],asg_Valid,1),0)</f>
        <v>0</v>
      </c>
      <c r="CP38" s="41" t="n">
        <f aca="false">IF(Tasks[[#This Row],[_LeafTotalCost]]=0,Tasks[[#This Row],[_LeafAC]],Tasks[[#This Row],[_LeafAC]]*Tasks[[#This Row],[_LeafCost]]/Tasks[[#This Row],[_LeafTotalCost]])</f>
        <v>0</v>
      </c>
      <c r="CQ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8" s="41" t="n">
        <f aca="false">IF(NOT(Tasks[[#This Row],[_IsLeaf]]=1),0,MAX(_xlfn.MAXIFS(Tasks[_Row],Tasks[Pred1 UID],Tasks[[#This Row],[UID]]),_xlfn.MAXIFS(Tasks[_Row],Tasks[Pred2 UID],Tasks[[#This Row],[UID]]),_xlfn.MAXIFS(Tasks[_Row],Tasks[Pred3 UID],Tasks[[#This Row],[UID]]),_xlfn.MAXIFS(Tasks[_Row],Tasks[Pred4 UID],Tasks[[#This Row],[UID]])))</f>
        <v>0</v>
      </c>
      <c r="CZ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8" s="101" t="str">
        <f aca="false">IF(NOT(Tasks[[#This Row],[_IsLeaf]]=1),"",IF(N(Tasks[[#This Row],[Duration]])&lt;=0,Tasks[[#This Row],[_LeafLateFinish]],WORKDAY.INTL(Tasks[[#This Row],[_LeafLateFinish]],-(Tasks[[#This Row],[Duration]]-1),WorkWeek,Holidays)))</f>
        <v/>
      </c>
      <c r="DC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8" s="100" t="b">
        <f aca="false">AND(Tasks[[#This Row],[_IsLeaf]]=1,Tasks[[#This Row],[_LeafProgress]]&lt;1,N(Tasks[[#This Row],[_LeafTotalSlack]])&lt;=CriticalSlackDays)</f>
        <v>0</v>
      </c>
      <c r="DE38" s="41" t="n">
        <f aca="false">IF(AND(Tasks[[#This Row],[_IsLeaf]]=1,Tasks[[#This Row],[_ConstraintCode]]=1,Tasks[[#This Row],[Mode]]&lt;&gt;"Manual",N(Tasks[[#This Row],[Actual Start]])=0),MAX(0,N(Tasks[[#This Row],[Free Slack]])),0)</f>
        <v>0</v>
      </c>
      <c r="DF38" s="101" t="str">
        <f aca="false">IF(NOT(Tasks[[#This Row],[_IsLeaf]]=1),"",IF(Tasks[[#This Row],[_AlapShift]]=0,Tasks[[#This Row],[_LeafCalcStart]],WORKDAY.INTL(Tasks[[#This Row],[_LeafCalcStart]],Tasks[[#This Row],[_AlapShift]],WorkWeek,Holidays)))</f>
        <v/>
      </c>
      <c r="DG38" s="101" t="str">
        <f aca="false">IF(NOT(Tasks[[#This Row],[_IsLeaf]]=1),"",IF(Tasks[[#This Row],[_AlapShift]]=0,Tasks[[#This Row],[_LeafCalcFinish]],WORKDAY.INTL(Tasks[[#This Row],[_LeafCalcFinish]],Tasks[[#This Row],[_AlapShift]],WorkWeek,Holidays)))</f>
        <v/>
      </c>
      <c r="DH38" s="101" t="str">
        <f aca="false">IF(NOT(Tasks[[#This Row],[_IsLeaf]]=1),"",IF(Tasks[[#This Row],[_AlapShift]]=0,Tasks[[#This Row],[_LeafFcstStart]],WORKDAY.INTL(Tasks[[#This Row],[_LeafFcstStart]],Tasks[[#This Row],[_AlapShift]],WorkWeek,Holidays)))</f>
        <v/>
      </c>
      <c r="DI38" s="101" t="str">
        <f aca="false">IF(NOT(Tasks[[#This Row],[_IsLeaf]]=1),"",IF(Tasks[[#This Row],[_AlapShift]]=0,Tasks[[#This Row],[_LeafFcstFinish]],WORKDAY.INTL(Tasks[[#This Row],[_LeafFcstFinish]],Tasks[[#This Row],[_AlapShift]],WorkWeek,Holidays)))</f>
        <v/>
      </c>
      <c r="DJ38" s="101" t="str">
        <f aca="false">IF(Tasks[[#This Row],[Task Name]]="","",IF(Tasks[[#This Row],[_IsSummary]],MIN(INDEX(Tasks[_ShownCalcStart],Tasks[[#This Row],[_Row]]+1):INDEX(Tasks[_ShownCalcStart],Tasks[[#This Row],[_Row]]+Tasks[[#This Row],[_Descendants]])),Tasks[[#This Row],[_ShownCalcStart]]))</f>
        <v/>
      </c>
      <c r="DK38" s="101" t="str">
        <f aca="false">IF(Tasks[[#This Row],[Task Name]]="","",IF(Tasks[[#This Row],[_IsSummary]],MAX(INDEX(Tasks[_ShownCalcFinish],Tasks[[#This Row],[_Row]]+1):INDEX(Tasks[_ShownCalcFinish],Tasks[[#This Row],[_Row]]+Tasks[[#This Row],[_Descendants]])),Tasks[[#This Row],[_ShownCalcFinish]]))</f>
        <v/>
      </c>
      <c r="D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8" s="41" t="n">
        <f aca="false">IF(AND(Tasks[[#This Row],[_IsLeaf]]=1,Tasks[[#This Row],[_LeafTotalWork]]&gt;0),NETWORKDAYS.INTL(ProjectStart,Tasks[[#This Row],[_ShownFcstStart]],WorkWeek,Holidays),0)</f>
        <v>0</v>
      </c>
      <c r="DY38" s="41" t="n">
        <f aca="false">IF(AND(Tasks[[#This Row],[_IsLeaf]]=1,Tasks[[#This Row],[_LeafTotalWork]]&gt;0),MAX(Tasks[[#This Row],[_StartWorkday]],NETWORKDAYS.INTL(ProjectStart,Tasks[[#This Row],[_ShownFcstFinish]],WorkWeek,Holidays)),0)</f>
        <v>0</v>
      </c>
      <c r="DZ38" s="41" t="n">
        <f aca="false">IF(AND(Tasks[[#This Row],[_IsLeaf]]=1,Tasks[[#This Row],[_LeafTotalWork]]&gt;0),Tasks[[#This Row],[_LeafWork]]/(Tasks[[#This Row],[_FinishWorkday]]-Tasks[[#This Row],[_StartWorkday]]+1),0)</f>
        <v>0</v>
      </c>
      <c r="EA38" s="41" t="n">
        <f aca="false">Tasks[[#This Row],[_WorkPerWorkday]]*(Tasks[[#This Row],[_StartWorkday]]-1)</f>
        <v>-0</v>
      </c>
      <c r="EB38" s="41" t="n">
        <f aca="false">IF(Tasks[[#This Row],[_IsLeaf]]=1,MAX(N(Tasks[[#This Row],[Duration]]),0.1),0)</f>
        <v>0</v>
      </c>
      <c r="EC38" s="41" t="n">
        <f aca="false">Tasks[[#This Row],[_WeightDur]]*Tasks[[#This Row],[_LeafProgress]]</f>
        <v>0</v>
      </c>
      <c r="ED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8" s="41" t="str">
        <f aca="false">IF(AND(Tasks[[#This Row],[_IsLeaf]]=1,N(Tasks[[#This Row],[Duration]])=0,Tasks[[#This Row],[_LeafProgress]]&lt;1),Tasks[[#This Row],[_ShownFcstFinish]]+Tasks[[#This Row],[_Row]]/100000,"")</f>
        <v/>
      </c>
      <c r="EF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8" s="41" t="n">
        <f aca="false">IF(NOT(Tasks[[#This Row],[_IsLeaf]]=1),0,IF(Tasks[[#This Row],[Baseline Cost]]="",Tasks[[#This Row],[_LeafTotalCost]],N(Tasks[[#This Row],[Baseline Cost]])))</f>
        <v>0</v>
      </c>
      <c r="EH38" s="41" t="n">
        <f aca="false">Tasks[[#This Row],[_LeafBudget]]*Tasks[[#This Row],[_PlannedPct]]</f>
        <v>0</v>
      </c>
      <c r="EI38" s="41" t="n">
        <f aca="false">Tasks[[#This Row],[_LeafBudget]]*Tasks[[#This Row],[_LeafProgress]]</f>
        <v>0</v>
      </c>
      <c r="EJ38" s="41" t="n">
        <f aca="false">IF(NOT(Tasks[[#This Row],[_IsLeaf]]=1),0,IF(Tasks[[#This Row],[Actual Cost]]="",Tasks[[#This Row],[_LeafTotalCost]]*Tasks[[#This Row],[_LeafProgress]],N(Tasks[[#This Row],[Actual Cost]])))</f>
        <v>0</v>
      </c>
      <c r="EK38" s="41" t="str">
        <f aca="false">IF(Tasks[[#This Row],[Task Name]]="","",LEFT(Tasks[[#This Row],[WBS]],FIND(".",Tasks[[#This Row],[WBS]]&amp;".")-1))</f>
        <v/>
      </c>
      <c r="EL38" s="41" t="str">
        <f aca="false">IF(AND(Tasks[[#This Row],[Task Name]]&lt;&gt;"",Tasks[[#This Row],[_Level]]=1),Tasks[[#This Row],[_Row]],"")</f>
        <v/>
      </c>
      <c r="EM38" s="41" t="str">
        <f aca="false">IF(AND(Tasks[[#This Row],[_IsLeaf]]=1,N(Tasks[[#This Row],[Duration]])=0),Tasks[[#This Row],[Planned Finish]]+Tasks[[#This Row],[_Row]]/100000,"")</f>
        <v/>
      </c>
      <c r="EN38" s="41" t="str">
        <f aca="false">IF(AND(Tasks[[#This Row],[_IsLeaf]]=1,Tasks[[#This Row],[_LeafProgress]]&lt;1,OR(N(Tasks[[#This Row],[Finish Var]])&gt;0,Tasks[[#This Row],[Status]]="Late Start")),MAX(0,Tasks[[#This Row],[Finish Var]])+1-Tasks[[#This Row],[_Row]]/1000000,"")</f>
        <v/>
      </c>
      <c r="EO38" s="41" t="str">
        <f aca="false">IF(AND(Tasks[[#This Row],[_IsLeaf]]=1,N(Tasks[[#This Row],[Actual Start]])=0,Tasks[[#This Row],[_ShownFcstStart]]&gt;=StatusDate,Tasks[[#This Row],[_ShownFcstStart]]&lt;=LookaheadEnd),Tasks[[#This Row],[_ShownFcstStart]]+Tasks[[#This Row],[_Row]]/100000,"")</f>
        <v/>
      </c>
      <c r="EP38" s="41" t="str">
        <f aca="false">IF(AND(Tasks[[#This Row],[_IsLeaf]]=1,Tasks[[#This Row],[_LeafProgress]]&lt;1,Tasks[[#This Row],[_ShownFcstFinish]]&gt;=StatusDate,Tasks[[#This Row],[_ShownFcstFinish]]&lt;=LookaheadEnd),Tasks[[#This Row],[_ShownFcstFinish]]+Tasks[[#This Row],[_Row]]/100000,"")</f>
        <v/>
      </c>
      <c r="EQ38" s="41" t="str">
        <f aca="false">IF(Tasks[[#This Row],[_LeafCritical]],Tasks[[#This Row],[_ShownFcstStart]]+Tasks[[#This Row],[_Row]]/100000,"")</f>
        <v/>
      </c>
      <c r="ER38" s="41" t="n">
        <f aca="false">Tasks[[#This Row],[_LeafWork]]*Tasks[[#This Row],[_LeafProgress]]</f>
        <v>0</v>
      </c>
      <c r="ES38" s="101" t="str">
        <f aca="false">IF(AND(Tasks[[#This Row],[_IsLeaf]]=1,Tasks[[#This Row],[_LeafProgress]]&gt;=1),IF(N(Tasks[[#This Row],[Actual Finish]])&gt;0,Tasks[[#This Row],[Actual Finish]],Tasks[[#This Row],[_ShownFcstFinish]]),"")</f>
        <v/>
      </c>
      <c r="ET38" s="41" t="n">
        <f aca="false">IF(Tasks[[#This Row],[_IsLeaf]]=1,N(Tasks[[#This Row],[Story Points]]),0)</f>
        <v>0</v>
      </c>
      <c r="EU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29"/>
      <c r="O39" s="29"/>
      <c r="P39" s="29"/>
      <c r="Q39" s="29"/>
      <c r="R39" s="29"/>
      <c r="S39" s="29"/>
      <c r="T39" s="30"/>
      <c r="U39" s="75"/>
      <c r="V39" s="75"/>
      <c r="W39" s="25" t="str">
        <f aca="false">IF(Tasks[[#This Row],[Task Name]]="","",IF(N(Tasks[[#This Row],[Baseline Start]])&gt;0,Tasks[[#This Row],[Baseline Start]],Tasks[[#This Row],[_CalcStart]]))</f>
        <v/>
      </c>
      <c r="X39" s="25" t="str">
        <f aca="false">IF(Tasks[[#This Row],[Task Name]]="","",IF(N(Tasks[[#This Row],[Baseline Finish]])&gt;0,Tasks[[#This Row],[Baseline Finish]],Tasks[[#This Row],[_CalcFinish]]))</f>
        <v/>
      </c>
      <c r="Y39" s="75"/>
      <c r="Z39" s="75"/>
      <c r="AA39" s="25" t="str">
        <f aca="false">IF(Tasks[[#This Row],[Task Name]]="","",IF(Tasks[[#This Row],[_IsSummary]],MIN(INDEX(Tasks[_ShownFcstStart],Tasks[[#This Row],[_Row]]+1):INDEX(Tasks[_ShownFcstStart],Tasks[[#This Row],[_Row]]+Tasks[[#This Row],[_Descendants]])),Tasks[[#This Row],[_ShownFcstStart]]))</f>
        <v/>
      </c>
      <c r="AB39" s="25" t="str">
        <f aca="false">IF(Tasks[[#This Row],[Task Name]]="","",IF(Tasks[[#This Row],[_IsSummary]],MAX(INDEX(Tasks[_ShownFcstFinish],Tasks[[#This Row],[_Row]]+1):INDEX(Tasks[_ShownFcstFinish],Tasks[[#This Row],[_Row]]+Tasks[[#This Row],[_Descendants]])),Tasks[[#This Row],[_ShownFcstFinish]]))</f>
        <v/>
      </c>
      <c r="AC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9" s="25" t="str">
        <f aca="false">IF(Tasks[[#This Row],[Task Name]]="","",IF(Tasks[[#This Row],[_IsSummary]],MIN(INDEX(Tasks[_LeafLateStart],Tasks[[#This Row],[_Row]]+1):INDEX(Tasks[_LeafLateStart],Tasks[[#This Row],[_Row]]+Tasks[[#This Row],[_Descendants]])),Tasks[[#This Row],[_LeafLateStart]]))</f>
        <v/>
      </c>
      <c r="AF39" s="25" t="str">
        <f aca="false">IF(Tasks[[#This Row],[Task Name]]="","",IF(Tasks[[#This Row],[_IsSummary]],MAX(INDEX(Tasks[_LeafLateFinish],Tasks[[#This Row],[_Row]]+1):INDEX(Tasks[_LeafLateFinish],Tasks[[#This Row],[_Row]]+Tasks[[#This Row],[_Descendants]])),Tasks[[#This Row],[_LeafLateFinish]]))</f>
        <v/>
      </c>
      <c r="AG39" s="28" t="str">
        <f aca="false">IF(Tasks[[#This Row],[Task Name]]="","",IF(Tasks[[#This Row],[_IsSummary]],MIN(INDEX(Tasks[_LeafTotalSlack],Tasks[[#This Row],[_Row]]+1):INDEX(Tasks[_LeafTotalSlack],Tasks[[#This Row],[_Row]]+Tasks[[#This Row],[_Descendants]])),Tasks[[#This Row],[_LeafTotalSlack]]))</f>
        <v/>
      </c>
      <c r="AH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9" s="28" t="str">
        <f aca="false">IF(Tasks[[#This Row],[Task Name]]="","",IF(IF(Tasks[[#This Row],[_IsSummary]],COUNTIF(INDEX(Tasks[_LeafCritical],Tasks[[#This Row],[_Row]]+1):INDEX(Tasks[_LeafCritical],Tasks[[#This Row],[_Row]]+Tasks[[#This Row],[_Descendants]]),TRUE())&gt;0,Tasks[[#This Row],[_LeafCritical]]),"Yes",""))</f>
        <v/>
      </c>
      <c r="AJ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9" s="89"/>
      <c r="AM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9" s="28" t="str">
        <f aca="false">IF(Tasks[[#This Row],[Task Name]]="","",IF(Tasks[[#This Row],[Progress]]&gt;=1,"Complete",IF(OR(N(Tasks[[#This Row],[Actual Start]])&gt;0,Tasks[[#This Row],[Progress]]&gt;0),IF(Tasks[[#This Row],[Finish Var]]&gt;0,"Behind","In Progress"),IF(Tasks[[#This Row],[Planned Start]]&lt;StatusDate,"Late Start","Not Started"))))</f>
        <v/>
      </c>
      <c r="AO39" s="30"/>
      <c r="AP39" s="89"/>
      <c r="AQ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9" s="96" t="str">
        <f aca="false">IF(Tasks[[#This Row],[Task Name]]="","",IF(Tasks[[#This Row],[_IsSummary]],SUM(INDEX(Tasks[_LeafTotalWork],Tasks[[#This Row],[_Row]]+1):INDEX(Tasks[_LeafTotalWork],Tasks[[#This Row],[_Row]]+Tasks[[#This Row],[_Descendants]])),Tasks[[#This Row],[_LeafTotalWork]]))</f>
        <v/>
      </c>
      <c r="AT39" s="97" t="str">
        <f aca="false">IF(Tasks[[#This Row],[Task Name]]="","",IF(Tasks[[#This Row],[_IsSummary]],SUM(INDEX(Tasks[_LeafTotalCost],Tasks[[#This Row],[_Row]]+1):INDEX(Tasks[_LeafTotalCost],Tasks[[#This Row],[_Row]]+Tasks[[#This Row],[_Descendants]])),Tasks[[#This Row],[_LeafTotalCost]]))</f>
        <v/>
      </c>
      <c r="AU39" s="98"/>
      <c r="AV39" s="29"/>
      <c r="AW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9" s="83"/>
      <c r="AY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9" s="30"/>
      <c r="BA39" s="25" t="str">
        <f aca="false">IF(Tasks[[#This Row],[Task Name]]="","",Tasks[[#This Row],[Forecast Start]])</f>
        <v/>
      </c>
      <c r="BB39" s="25" t="str">
        <f aca="false">IF(Tasks[[#This Row],[Task Name]]="","",Tasks[[#This Row],[Forecast Finish]])</f>
        <v/>
      </c>
      <c r="BC39" s="28" t="str">
        <f aca="false">IF(Tasks[[#This Row],[Task Name]]="","",IF(Tasks[[#This Row],[_IsSummary]],NETWORKDAYS.INTL(Tasks[[#This Row],[Forecast Start]],Tasks[[#This Row],[Forecast Finish]],WorkWeek,Holidays),N(Tasks[[#This Row],[Duration]])))</f>
        <v/>
      </c>
      <c r="BD39" s="96" t="str">
        <f aca="false">IF(Tasks[[#This Row],[Task Name]]="","",Tasks[[#This Row],[Work]])</f>
        <v/>
      </c>
      <c r="BE39" s="97" t="str">
        <f aca="false">IF(Tasks[[#This Row],[Task Name]]="","",Tasks[[#This Row],[Cost]])</f>
        <v/>
      </c>
      <c r="BF39" s="75"/>
      <c r="BG39" s="75"/>
      <c r="BH39" s="29"/>
      <c r="BI39" s="99"/>
      <c r="BJ39" s="98"/>
      <c r="BK39" s="28" t="str">
        <f aca="false">IF(OR(Tasks[[#This Row],[Task Name]]="",Tasks[[#This Row],[Baseline Duration]]=""),"",Tasks[[#This Row],[BL Source Duration]]-N(Tasks[[#This Row],[Baseline Duration]]))</f>
        <v/>
      </c>
      <c r="BL39" s="96" t="str">
        <f aca="false">IF(OR(Tasks[[#This Row],[Task Name]]="",Tasks[[#This Row],[Baseline Work]]=""),"",Tasks[[#This Row],[Work]]-N(Tasks[[#This Row],[Baseline Work]]))</f>
        <v/>
      </c>
      <c r="BM39" s="97" t="str">
        <f aca="false">IF(OR(Tasks[[#This Row],[Task Name]]="",Tasks[[#This Row],[Baseline Cost]]=""),"",Tasks[[#This Row],[Cost]]-N(Tasks[[#This Row],[Baseline Cost]]))</f>
        <v/>
      </c>
      <c r="BN39" s="97" t="str">
        <f aca="false">IF(Tasks[[#This Row],[Task Name]]="","",IF(Tasks[[#This Row],[_IsSummary]],SUM(INDEX(Tasks[_LeafBudget],Tasks[[#This Row],[_Row]]+1):INDEX(Tasks[_LeafBudget],Tasks[[#This Row],[_Row]]+Tasks[[#This Row],[_Descendants]])),Tasks[[#This Row],[_LeafBudget]]))</f>
        <v/>
      </c>
      <c r="BO39" s="97" t="str">
        <f aca="false">IF(Tasks[[#This Row],[Task Name]]="","",IF(Tasks[[#This Row],[_IsSummary]],SUM(INDEX(Tasks[_LeafPV],Tasks[[#This Row],[_Row]]+1):INDEX(Tasks[_LeafPV],Tasks[[#This Row],[_Row]]+Tasks[[#This Row],[_Descendants]])),Tasks[[#This Row],[_LeafPV]]))</f>
        <v/>
      </c>
      <c r="BP39" s="97" t="str">
        <f aca="false">IF(Tasks[[#This Row],[Task Name]]="","",IF(Tasks[[#This Row],[_IsSummary]],SUM(INDEX(Tasks[_LeafEV],Tasks[[#This Row],[_Row]]+1):INDEX(Tasks[_LeafEV],Tasks[[#This Row],[_Row]]+Tasks[[#This Row],[_Descendants]])),Tasks[[#This Row],[_LeafEV]]))</f>
        <v/>
      </c>
      <c r="BQ39" s="97" t="str">
        <f aca="false">IF(Tasks[[#This Row],[Task Name]]="","",IF(Tasks[[#This Row],[_IsSummary]],SUM(INDEX(Tasks[_LeafAC],Tasks[[#This Row],[_Row]]+1):INDEX(Tasks[_LeafAC],Tasks[[#This Row],[_Row]]+Tasks[[#This Row],[_Descendants]])),Tasks[[#This Row],[_LeafAC]]))</f>
        <v/>
      </c>
      <c r="BR39" s="41" t="str">
        <f aca="false">IF(Tasks[[#This Row],[Task Name]]="","",MAX(1,N(Tasks[[#This Row],[Level]])))</f>
        <v/>
      </c>
      <c r="BS39" s="41" t="n">
        <f aca="false">ROW()-ROW(Tasks[[#Headers],[ID]])</f>
        <v>34</v>
      </c>
      <c r="BT39" s="41" t="n">
        <f aca="false">IF(OR(Tasks[[#This Row],[Task Name]]="",Tasks[[#This Row],[_Level]]&lt;=1),0,IFERROR(LOOKUP(2,1/(Tasks[[#Headers],[_Level]]:Tasks[[#This Row],[_Level]]=Tasks[[#This Row],[_Level]]-1),ROW(Tasks[[#Headers],[_Level]]:Tasks[[#This Row],[_Level]])),0))</f>
        <v>0</v>
      </c>
      <c r="BU39" s="41" t="n">
        <f aca="false">IFERROR(N(INDEX(Tasks[_Level],Tasks[[#This Row],[_Row]]+1)),0)</f>
        <v>0</v>
      </c>
      <c r="BV39" s="100" t="b">
        <f aca="false">AND(Tasks[[#This Row],[Task Name]]&lt;&gt;"",Tasks[[#This Row],[_NextLevel]]&gt;Tasks[[#This Row],[_Level]])</f>
        <v>0</v>
      </c>
      <c r="BW39" s="41" t="n">
        <f aca="false">IF(Tasks[[#This Row],[_IsSummary]],COUNTIF(Tasks[WBS],Tasks[[#This Row],[WBS]]&amp;".*"),0)</f>
        <v>0</v>
      </c>
      <c r="BX39" s="41" t="n">
        <f aca="false">IF(AND(Tasks[[#This Row],[Task Name]]&lt;&gt;"",NOT(Tasks[[#This Row],[_IsSummary]])),1,0)</f>
        <v>0</v>
      </c>
      <c r="BY39" s="41" t="n">
        <f aca="false">IF(N(Tasks[[#This Row],[Pred1 UID]])=0,0,IFERROR(MATCH(Tasks[[#This Row],[Pred1 UID]],Tasks[UID],0),-1))</f>
        <v>0</v>
      </c>
      <c r="BZ39" s="41" t="n">
        <f aca="false">IF(N(Tasks[[#This Row],[Pred2 UID]])=0,0,IFERROR(MATCH(Tasks[[#This Row],[Pred2 UID]],Tasks[UID],0),-1))</f>
        <v>0</v>
      </c>
      <c r="CA39" s="41" t="n">
        <f aca="false">IF(N(Tasks[[#This Row],[Pred3 UID]])=0,0,IFERROR(MATCH(Tasks[[#This Row],[Pred3 UID]],Tasks[UID],0),-1))</f>
        <v>0</v>
      </c>
      <c r="CB39" s="41" t="n">
        <f aca="false">IF(N(Tasks[[#This Row],[Pred4 UID]])=0,0,IFERROR(MATCH(Tasks[[#This Row],[Pred4 UID]],Tasks[UID],0),-1))</f>
        <v>0</v>
      </c>
      <c r="CC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9" s="101" t="n">
        <f aca="false">IF(OR(Tasks[[#This Row],[_ConstraintCode]]=2,Tasks[[#This Row],[_ConstraintCode]]=3,Tasks[[#This Row],[_ConstraintCode]]=4,Tasks[[#This Row],[_ConstraintCode]]=6),Tasks[[#This Row],[_ConstraintStart]],0)</f>
        <v>0</v>
      </c>
      <c r="CF39" s="101" t="n">
        <f aca="false">IF(OR(Tasks[[#This Row],[_ConstraintCode]]=2,Tasks[[#This Row],[_ConstraintCode]]=3,Tasks[[#This Row],[_ConstraintCode]]=5,Tasks[[#This Row],[_ConstraintCode]]=7),Tasks[[#This Row],[_ConstraintStart]],2958465)</f>
        <v>2958465</v>
      </c>
      <c r="CG3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9" s="101" t="str">
        <f aca="false">IF(NOT(Tasks[[#This Row],[_IsLeaf]]=1),"",IF(N(Tasks[[#This Row],[Duration]])&lt;=0,Tasks[[#This Row],[_LeafCalcStart]],WORKDAY.INTL(Tasks[[#This Row],[_LeafCalcStart]],Tasks[[#This Row],[Duration]]-1,WorkWeek,Holidays)))</f>
        <v/>
      </c>
      <c r="CI3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9" s="41" t="n">
        <f aca="false">IF(NOT(Tasks[[#This Row],[_IsLeaf]]=1),0,IF(N(Tasks[[#This Row],[Actual Finish]])&gt;0,1,MIN(1,N(Tasks[[#This Row],[% Complete]]))))</f>
        <v>0</v>
      </c>
      <c r="CL39" s="41" t="n">
        <f aca="false">IF(OR(NOT(Tasks[[#This Row],[_IsLeaf]]=1),Tasks[[#This Row],[Resource]]=""),0,N(Tasks[[#This Row],[Duration]])*HoursPerDay*IF(Tasks[[#This Row],[Units]]="",DefaultUnits,Tasks[[#This Row],[Units]]))</f>
        <v>0</v>
      </c>
      <c r="CM39" s="41" t="n">
        <f aca="false">IF(Tasks[[#This Row],[_LeafWork]]=0,0,Tasks[[#This Row],[_LeafWork]]*IFERROR(INDEX(res_Rate,MATCH(Tasks[[#This Row],[Resource]],res_Name,0)),0))</f>
        <v>0</v>
      </c>
      <c r="CN39" s="41" t="n">
        <f aca="false">Tasks[[#This Row],[_LeafWork]]+IF(Tasks[[#This Row],[_IsLeaf]]=1,SUMIFS(asg_Work,asg_TaskUID,Tasks[[#This Row],[UID]],asg_Valid,1),0)</f>
        <v>0</v>
      </c>
      <c r="CO39" s="41" t="n">
        <f aca="false">Tasks[[#This Row],[_LeafCost]]+IF(Tasks[[#This Row],[_IsLeaf]]=1,SUMIFS(asg_Cost,asg_TaskUID,Tasks[[#This Row],[UID]],asg_Valid,1),0)</f>
        <v>0</v>
      </c>
      <c r="CP39" s="41" t="n">
        <f aca="false">IF(Tasks[[#This Row],[_LeafTotalCost]]=0,Tasks[[#This Row],[_LeafAC]],Tasks[[#This Row],[_LeafAC]]*Tasks[[#This Row],[_LeafCost]]/Tasks[[#This Row],[_LeafTotalCost]])</f>
        <v>0</v>
      </c>
      <c r="CQ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9" s="41" t="n">
        <f aca="false">IF(NOT(Tasks[[#This Row],[_IsLeaf]]=1),0,MAX(_xlfn.MAXIFS(Tasks[_Row],Tasks[Pred1 UID],Tasks[[#This Row],[UID]]),_xlfn.MAXIFS(Tasks[_Row],Tasks[Pred2 UID],Tasks[[#This Row],[UID]]),_xlfn.MAXIFS(Tasks[_Row],Tasks[Pred3 UID],Tasks[[#This Row],[UID]]),_xlfn.MAXIFS(Tasks[_Row],Tasks[Pred4 UID],Tasks[[#This Row],[UID]])))</f>
        <v>0</v>
      </c>
      <c r="CZ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9" s="101" t="str">
        <f aca="false">IF(NOT(Tasks[[#This Row],[_IsLeaf]]=1),"",IF(N(Tasks[[#This Row],[Duration]])&lt;=0,Tasks[[#This Row],[_LeafLateFinish]],WORKDAY.INTL(Tasks[[#This Row],[_LeafLateFinish]],-(Tasks[[#This Row],[Duration]]-1),WorkWeek,Holidays)))</f>
        <v/>
      </c>
      <c r="DC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9" s="100" t="b">
        <f aca="false">AND(Tasks[[#This Row],[_IsLeaf]]=1,Tasks[[#This Row],[_LeafProgress]]&lt;1,N(Tasks[[#This Row],[_LeafTotalSlack]])&lt;=CriticalSlackDays)</f>
        <v>0</v>
      </c>
      <c r="DE39" s="41" t="n">
        <f aca="false">IF(AND(Tasks[[#This Row],[_IsLeaf]]=1,Tasks[[#This Row],[_ConstraintCode]]=1,Tasks[[#This Row],[Mode]]&lt;&gt;"Manual",N(Tasks[[#This Row],[Actual Start]])=0),MAX(0,N(Tasks[[#This Row],[Free Slack]])),0)</f>
        <v>0</v>
      </c>
      <c r="DF39" s="101" t="str">
        <f aca="false">IF(NOT(Tasks[[#This Row],[_IsLeaf]]=1),"",IF(Tasks[[#This Row],[_AlapShift]]=0,Tasks[[#This Row],[_LeafCalcStart]],WORKDAY.INTL(Tasks[[#This Row],[_LeafCalcStart]],Tasks[[#This Row],[_AlapShift]],WorkWeek,Holidays)))</f>
        <v/>
      </c>
      <c r="DG39" s="101" t="str">
        <f aca="false">IF(NOT(Tasks[[#This Row],[_IsLeaf]]=1),"",IF(Tasks[[#This Row],[_AlapShift]]=0,Tasks[[#This Row],[_LeafCalcFinish]],WORKDAY.INTL(Tasks[[#This Row],[_LeafCalcFinish]],Tasks[[#This Row],[_AlapShift]],WorkWeek,Holidays)))</f>
        <v/>
      </c>
      <c r="DH39" s="101" t="str">
        <f aca="false">IF(NOT(Tasks[[#This Row],[_IsLeaf]]=1),"",IF(Tasks[[#This Row],[_AlapShift]]=0,Tasks[[#This Row],[_LeafFcstStart]],WORKDAY.INTL(Tasks[[#This Row],[_LeafFcstStart]],Tasks[[#This Row],[_AlapShift]],WorkWeek,Holidays)))</f>
        <v/>
      </c>
      <c r="DI39" s="101" t="str">
        <f aca="false">IF(NOT(Tasks[[#This Row],[_IsLeaf]]=1),"",IF(Tasks[[#This Row],[_AlapShift]]=0,Tasks[[#This Row],[_LeafFcstFinish]],WORKDAY.INTL(Tasks[[#This Row],[_LeafFcstFinish]],Tasks[[#This Row],[_AlapShift]],WorkWeek,Holidays)))</f>
        <v/>
      </c>
      <c r="DJ39" s="101" t="str">
        <f aca="false">IF(Tasks[[#This Row],[Task Name]]="","",IF(Tasks[[#This Row],[_IsSummary]],MIN(INDEX(Tasks[_ShownCalcStart],Tasks[[#This Row],[_Row]]+1):INDEX(Tasks[_ShownCalcStart],Tasks[[#This Row],[_Row]]+Tasks[[#This Row],[_Descendants]])),Tasks[[#This Row],[_ShownCalcStart]]))</f>
        <v/>
      </c>
      <c r="DK39" s="101" t="str">
        <f aca="false">IF(Tasks[[#This Row],[Task Name]]="","",IF(Tasks[[#This Row],[_IsSummary]],MAX(INDEX(Tasks[_ShownCalcFinish],Tasks[[#This Row],[_Row]]+1):INDEX(Tasks[_ShownCalcFinish],Tasks[[#This Row],[_Row]]+Tasks[[#This Row],[_Descendants]])),Tasks[[#This Row],[_ShownCalcFinish]]))</f>
        <v/>
      </c>
      <c r="D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9" s="41" t="n">
        <f aca="false">IF(AND(Tasks[[#This Row],[_IsLeaf]]=1,Tasks[[#This Row],[_LeafTotalWork]]&gt;0),NETWORKDAYS.INTL(ProjectStart,Tasks[[#This Row],[_ShownFcstStart]],WorkWeek,Holidays),0)</f>
        <v>0</v>
      </c>
      <c r="DY39" s="41" t="n">
        <f aca="false">IF(AND(Tasks[[#This Row],[_IsLeaf]]=1,Tasks[[#This Row],[_LeafTotalWork]]&gt;0),MAX(Tasks[[#This Row],[_StartWorkday]],NETWORKDAYS.INTL(ProjectStart,Tasks[[#This Row],[_ShownFcstFinish]],WorkWeek,Holidays)),0)</f>
        <v>0</v>
      </c>
      <c r="DZ39" s="41" t="n">
        <f aca="false">IF(AND(Tasks[[#This Row],[_IsLeaf]]=1,Tasks[[#This Row],[_LeafTotalWork]]&gt;0),Tasks[[#This Row],[_LeafWork]]/(Tasks[[#This Row],[_FinishWorkday]]-Tasks[[#This Row],[_StartWorkday]]+1),0)</f>
        <v>0</v>
      </c>
      <c r="EA39" s="41" t="n">
        <f aca="false">Tasks[[#This Row],[_WorkPerWorkday]]*(Tasks[[#This Row],[_StartWorkday]]-1)</f>
        <v>-0</v>
      </c>
      <c r="EB39" s="41" t="n">
        <f aca="false">IF(Tasks[[#This Row],[_IsLeaf]]=1,MAX(N(Tasks[[#This Row],[Duration]]),0.1),0)</f>
        <v>0</v>
      </c>
      <c r="EC39" s="41" t="n">
        <f aca="false">Tasks[[#This Row],[_WeightDur]]*Tasks[[#This Row],[_LeafProgress]]</f>
        <v>0</v>
      </c>
      <c r="ED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9" s="41" t="str">
        <f aca="false">IF(AND(Tasks[[#This Row],[_IsLeaf]]=1,N(Tasks[[#This Row],[Duration]])=0,Tasks[[#This Row],[_LeafProgress]]&lt;1),Tasks[[#This Row],[_ShownFcstFinish]]+Tasks[[#This Row],[_Row]]/100000,"")</f>
        <v/>
      </c>
      <c r="EF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9" s="41" t="n">
        <f aca="false">IF(NOT(Tasks[[#This Row],[_IsLeaf]]=1),0,IF(Tasks[[#This Row],[Baseline Cost]]="",Tasks[[#This Row],[_LeafTotalCost]],N(Tasks[[#This Row],[Baseline Cost]])))</f>
        <v>0</v>
      </c>
      <c r="EH39" s="41" t="n">
        <f aca="false">Tasks[[#This Row],[_LeafBudget]]*Tasks[[#This Row],[_PlannedPct]]</f>
        <v>0</v>
      </c>
      <c r="EI39" s="41" t="n">
        <f aca="false">Tasks[[#This Row],[_LeafBudget]]*Tasks[[#This Row],[_LeafProgress]]</f>
        <v>0</v>
      </c>
      <c r="EJ39" s="41" t="n">
        <f aca="false">IF(NOT(Tasks[[#This Row],[_IsLeaf]]=1),0,IF(Tasks[[#This Row],[Actual Cost]]="",Tasks[[#This Row],[_LeafTotalCost]]*Tasks[[#This Row],[_LeafProgress]],N(Tasks[[#This Row],[Actual Cost]])))</f>
        <v>0</v>
      </c>
      <c r="EK39" s="41" t="str">
        <f aca="false">IF(Tasks[[#This Row],[Task Name]]="","",LEFT(Tasks[[#This Row],[WBS]],FIND(".",Tasks[[#This Row],[WBS]]&amp;".")-1))</f>
        <v/>
      </c>
      <c r="EL39" s="41" t="str">
        <f aca="false">IF(AND(Tasks[[#This Row],[Task Name]]&lt;&gt;"",Tasks[[#This Row],[_Level]]=1),Tasks[[#This Row],[_Row]],"")</f>
        <v/>
      </c>
      <c r="EM39" s="41" t="str">
        <f aca="false">IF(AND(Tasks[[#This Row],[_IsLeaf]]=1,N(Tasks[[#This Row],[Duration]])=0),Tasks[[#This Row],[Planned Finish]]+Tasks[[#This Row],[_Row]]/100000,"")</f>
        <v/>
      </c>
      <c r="EN39" s="41" t="str">
        <f aca="false">IF(AND(Tasks[[#This Row],[_IsLeaf]]=1,Tasks[[#This Row],[_LeafProgress]]&lt;1,OR(N(Tasks[[#This Row],[Finish Var]])&gt;0,Tasks[[#This Row],[Status]]="Late Start")),MAX(0,Tasks[[#This Row],[Finish Var]])+1-Tasks[[#This Row],[_Row]]/1000000,"")</f>
        <v/>
      </c>
      <c r="EO39" s="41" t="str">
        <f aca="false">IF(AND(Tasks[[#This Row],[_IsLeaf]]=1,N(Tasks[[#This Row],[Actual Start]])=0,Tasks[[#This Row],[_ShownFcstStart]]&gt;=StatusDate,Tasks[[#This Row],[_ShownFcstStart]]&lt;=LookaheadEnd),Tasks[[#This Row],[_ShownFcstStart]]+Tasks[[#This Row],[_Row]]/100000,"")</f>
        <v/>
      </c>
      <c r="EP39" s="41" t="str">
        <f aca="false">IF(AND(Tasks[[#This Row],[_IsLeaf]]=1,Tasks[[#This Row],[_LeafProgress]]&lt;1,Tasks[[#This Row],[_ShownFcstFinish]]&gt;=StatusDate,Tasks[[#This Row],[_ShownFcstFinish]]&lt;=LookaheadEnd),Tasks[[#This Row],[_ShownFcstFinish]]+Tasks[[#This Row],[_Row]]/100000,"")</f>
        <v/>
      </c>
      <c r="EQ39" s="41" t="str">
        <f aca="false">IF(Tasks[[#This Row],[_LeafCritical]],Tasks[[#This Row],[_ShownFcstStart]]+Tasks[[#This Row],[_Row]]/100000,"")</f>
        <v/>
      </c>
      <c r="ER39" s="41" t="n">
        <f aca="false">Tasks[[#This Row],[_LeafWork]]*Tasks[[#This Row],[_LeafProgress]]</f>
        <v>0</v>
      </c>
      <c r="ES39" s="101" t="str">
        <f aca="false">IF(AND(Tasks[[#This Row],[_IsLeaf]]=1,Tasks[[#This Row],[_LeafProgress]]&gt;=1),IF(N(Tasks[[#This Row],[Actual Finish]])&gt;0,Tasks[[#This Row],[Actual Finish]],Tasks[[#This Row],[_ShownFcstFinish]]),"")</f>
        <v/>
      </c>
      <c r="ET39" s="41" t="n">
        <f aca="false">IF(Tasks[[#This Row],[_IsLeaf]]=1,N(Tasks[[#This Row],[Story Points]]),0)</f>
        <v>0</v>
      </c>
      <c r="EU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29"/>
      <c r="O40" s="29"/>
      <c r="P40" s="29"/>
      <c r="Q40" s="29"/>
      <c r="R40" s="29"/>
      <c r="S40" s="29"/>
      <c r="T40" s="30"/>
      <c r="U40" s="75"/>
      <c r="V40" s="75"/>
      <c r="W40" s="25" t="str">
        <f aca="false">IF(Tasks[[#This Row],[Task Name]]="","",IF(N(Tasks[[#This Row],[Baseline Start]])&gt;0,Tasks[[#This Row],[Baseline Start]],Tasks[[#This Row],[_CalcStart]]))</f>
        <v/>
      </c>
      <c r="X40" s="25" t="str">
        <f aca="false">IF(Tasks[[#This Row],[Task Name]]="","",IF(N(Tasks[[#This Row],[Baseline Finish]])&gt;0,Tasks[[#This Row],[Baseline Finish]],Tasks[[#This Row],[_CalcFinish]]))</f>
        <v/>
      </c>
      <c r="Y40" s="75"/>
      <c r="Z40" s="75"/>
      <c r="AA40" s="25" t="str">
        <f aca="false">IF(Tasks[[#This Row],[Task Name]]="","",IF(Tasks[[#This Row],[_IsSummary]],MIN(INDEX(Tasks[_ShownFcstStart],Tasks[[#This Row],[_Row]]+1):INDEX(Tasks[_ShownFcstStart],Tasks[[#This Row],[_Row]]+Tasks[[#This Row],[_Descendants]])),Tasks[[#This Row],[_ShownFcstStart]]))</f>
        <v/>
      </c>
      <c r="AB40" s="25" t="str">
        <f aca="false">IF(Tasks[[#This Row],[Task Name]]="","",IF(Tasks[[#This Row],[_IsSummary]],MAX(INDEX(Tasks[_ShownFcstFinish],Tasks[[#This Row],[_Row]]+1):INDEX(Tasks[_ShownFcstFinish],Tasks[[#This Row],[_Row]]+Tasks[[#This Row],[_Descendants]])),Tasks[[#This Row],[_ShownFcstFinish]]))</f>
        <v/>
      </c>
      <c r="AC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0" s="25" t="str">
        <f aca="false">IF(Tasks[[#This Row],[Task Name]]="","",IF(Tasks[[#This Row],[_IsSummary]],MIN(INDEX(Tasks[_LeafLateStart],Tasks[[#This Row],[_Row]]+1):INDEX(Tasks[_LeafLateStart],Tasks[[#This Row],[_Row]]+Tasks[[#This Row],[_Descendants]])),Tasks[[#This Row],[_LeafLateStart]]))</f>
        <v/>
      </c>
      <c r="AF40" s="25" t="str">
        <f aca="false">IF(Tasks[[#This Row],[Task Name]]="","",IF(Tasks[[#This Row],[_IsSummary]],MAX(INDEX(Tasks[_LeafLateFinish],Tasks[[#This Row],[_Row]]+1):INDEX(Tasks[_LeafLateFinish],Tasks[[#This Row],[_Row]]+Tasks[[#This Row],[_Descendants]])),Tasks[[#This Row],[_LeafLateFinish]]))</f>
        <v/>
      </c>
      <c r="AG40" s="28" t="str">
        <f aca="false">IF(Tasks[[#This Row],[Task Name]]="","",IF(Tasks[[#This Row],[_IsSummary]],MIN(INDEX(Tasks[_LeafTotalSlack],Tasks[[#This Row],[_Row]]+1):INDEX(Tasks[_LeafTotalSlack],Tasks[[#This Row],[_Row]]+Tasks[[#This Row],[_Descendants]])),Tasks[[#This Row],[_LeafTotalSlack]]))</f>
        <v/>
      </c>
      <c r="AH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0" s="28" t="str">
        <f aca="false">IF(Tasks[[#This Row],[Task Name]]="","",IF(IF(Tasks[[#This Row],[_IsSummary]],COUNTIF(INDEX(Tasks[_LeafCritical],Tasks[[#This Row],[_Row]]+1):INDEX(Tasks[_LeafCritical],Tasks[[#This Row],[_Row]]+Tasks[[#This Row],[_Descendants]]),TRUE())&gt;0,Tasks[[#This Row],[_LeafCritical]]),"Yes",""))</f>
        <v/>
      </c>
      <c r="AJ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0" s="89"/>
      <c r="AM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0" s="28" t="str">
        <f aca="false">IF(Tasks[[#This Row],[Task Name]]="","",IF(Tasks[[#This Row],[Progress]]&gt;=1,"Complete",IF(OR(N(Tasks[[#This Row],[Actual Start]])&gt;0,Tasks[[#This Row],[Progress]]&gt;0),IF(Tasks[[#This Row],[Finish Var]]&gt;0,"Behind","In Progress"),IF(Tasks[[#This Row],[Planned Start]]&lt;StatusDate,"Late Start","Not Started"))))</f>
        <v/>
      </c>
      <c r="AO40" s="30"/>
      <c r="AP40" s="89"/>
      <c r="AQ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0" s="96" t="str">
        <f aca="false">IF(Tasks[[#This Row],[Task Name]]="","",IF(Tasks[[#This Row],[_IsSummary]],SUM(INDEX(Tasks[_LeafTotalWork],Tasks[[#This Row],[_Row]]+1):INDEX(Tasks[_LeafTotalWork],Tasks[[#This Row],[_Row]]+Tasks[[#This Row],[_Descendants]])),Tasks[[#This Row],[_LeafTotalWork]]))</f>
        <v/>
      </c>
      <c r="AT40" s="97" t="str">
        <f aca="false">IF(Tasks[[#This Row],[Task Name]]="","",IF(Tasks[[#This Row],[_IsSummary]],SUM(INDEX(Tasks[_LeafTotalCost],Tasks[[#This Row],[_Row]]+1):INDEX(Tasks[_LeafTotalCost],Tasks[[#This Row],[_Row]]+Tasks[[#This Row],[_Descendants]])),Tasks[[#This Row],[_LeafTotalCost]]))</f>
        <v/>
      </c>
      <c r="AU40" s="98"/>
      <c r="AV40" s="29"/>
      <c r="AW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0" s="83"/>
      <c r="AY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0" s="30"/>
      <c r="BA40" s="25" t="str">
        <f aca="false">IF(Tasks[[#This Row],[Task Name]]="","",Tasks[[#This Row],[Forecast Start]])</f>
        <v/>
      </c>
      <c r="BB40" s="25" t="str">
        <f aca="false">IF(Tasks[[#This Row],[Task Name]]="","",Tasks[[#This Row],[Forecast Finish]])</f>
        <v/>
      </c>
      <c r="BC40" s="28" t="str">
        <f aca="false">IF(Tasks[[#This Row],[Task Name]]="","",IF(Tasks[[#This Row],[_IsSummary]],NETWORKDAYS.INTL(Tasks[[#This Row],[Forecast Start]],Tasks[[#This Row],[Forecast Finish]],WorkWeek,Holidays),N(Tasks[[#This Row],[Duration]])))</f>
        <v/>
      </c>
      <c r="BD40" s="96" t="str">
        <f aca="false">IF(Tasks[[#This Row],[Task Name]]="","",Tasks[[#This Row],[Work]])</f>
        <v/>
      </c>
      <c r="BE40" s="97" t="str">
        <f aca="false">IF(Tasks[[#This Row],[Task Name]]="","",Tasks[[#This Row],[Cost]])</f>
        <v/>
      </c>
      <c r="BF40" s="75"/>
      <c r="BG40" s="75"/>
      <c r="BH40" s="29"/>
      <c r="BI40" s="99"/>
      <c r="BJ40" s="98"/>
      <c r="BK40" s="28" t="str">
        <f aca="false">IF(OR(Tasks[[#This Row],[Task Name]]="",Tasks[[#This Row],[Baseline Duration]]=""),"",Tasks[[#This Row],[BL Source Duration]]-N(Tasks[[#This Row],[Baseline Duration]]))</f>
        <v/>
      </c>
      <c r="BL40" s="96" t="str">
        <f aca="false">IF(OR(Tasks[[#This Row],[Task Name]]="",Tasks[[#This Row],[Baseline Work]]=""),"",Tasks[[#This Row],[Work]]-N(Tasks[[#This Row],[Baseline Work]]))</f>
        <v/>
      </c>
      <c r="BM40" s="97" t="str">
        <f aca="false">IF(OR(Tasks[[#This Row],[Task Name]]="",Tasks[[#This Row],[Baseline Cost]]=""),"",Tasks[[#This Row],[Cost]]-N(Tasks[[#This Row],[Baseline Cost]]))</f>
        <v/>
      </c>
      <c r="BN40" s="97" t="str">
        <f aca="false">IF(Tasks[[#This Row],[Task Name]]="","",IF(Tasks[[#This Row],[_IsSummary]],SUM(INDEX(Tasks[_LeafBudget],Tasks[[#This Row],[_Row]]+1):INDEX(Tasks[_LeafBudget],Tasks[[#This Row],[_Row]]+Tasks[[#This Row],[_Descendants]])),Tasks[[#This Row],[_LeafBudget]]))</f>
        <v/>
      </c>
      <c r="BO40" s="97" t="str">
        <f aca="false">IF(Tasks[[#This Row],[Task Name]]="","",IF(Tasks[[#This Row],[_IsSummary]],SUM(INDEX(Tasks[_LeafPV],Tasks[[#This Row],[_Row]]+1):INDEX(Tasks[_LeafPV],Tasks[[#This Row],[_Row]]+Tasks[[#This Row],[_Descendants]])),Tasks[[#This Row],[_LeafPV]]))</f>
        <v/>
      </c>
      <c r="BP40" s="97" t="str">
        <f aca="false">IF(Tasks[[#This Row],[Task Name]]="","",IF(Tasks[[#This Row],[_IsSummary]],SUM(INDEX(Tasks[_LeafEV],Tasks[[#This Row],[_Row]]+1):INDEX(Tasks[_LeafEV],Tasks[[#This Row],[_Row]]+Tasks[[#This Row],[_Descendants]])),Tasks[[#This Row],[_LeafEV]]))</f>
        <v/>
      </c>
      <c r="BQ40" s="97" t="str">
        <f aca="false">IF(Tasks[[#This Row],[Task Name]]="","",IF(Tasks[[#This Row],[_IsSummary]],SUM(INDEX(Tasks[_LeafAC],Tasks[[#This Row],[_Row]]+1):INDEX(Tasks[_LeafAC],Tasks[[#This Row],[_Row]]+Tasks[[#This Row],[_Descendants]])),Tasks[[#This Row],[_LeafAC]]))</f>
        <v/>
      </c>
      <c r="BR40" s="41" t="str">
        <f aca="false">IF(Tasks[[#This Row],[Task Name]]="","",MAX(1,N(Tasks[[#This Row],[Level]])))</f>
        <v/>
      </c>
      <c r="BS40" s="41" t="n">
        <f aca="false">ROW()-ROW(Tasks[[#Headers],[ID]])</f>
        <v>35</v>
      </c>
      <c r="BT40" s="41" t="n">
        <f aca="false">IF(OR(Tasks[[#This Row],[Task Name]]="",Tasks[[#This Row],[_Level]]&lt;=1),0,IFERROR(LOOKUP(2,1/(Tasks[[#Headers],[_Level]]:Tasks[[#This Row],[_Level]]=Tasks[[#This Row],[_Level]]-1),ROW(Tasks[[#Headers],[_Level]]:Tasks[[#This Row],[_Level]])),0))</f>
        <v>0</v>
      </c>
      <c r="BU40" s="41" t="n">
        <f aca="false">IFERROR(N(INDEX(Tasks[_Level],Tasks[[#This Row],[_Row]]+1)),0)</f>
        <v>0</v>
      </c>
      <c r="BV40" s="100" t="b">
        <f aca="false">AND(Tasks[[#This Row],[Task Name]]&lt;&gt;"",Tasks[[#This Row],[_NextLevel]]&gt;Tasks[[#This Row],[_Level]])</f>
        <v>0</v>
      </c>
      <c r="BW40" s="41" t="n">
        <f aca="false">IF(Tasks[[#This Row],[_IsSummary]],COUNTIF(Tasks[WBS],Tasks[[#This Row],[WBS]]&amp;".*"),0)</f>
        <v>0</v>
      </c>
      <c r="BX40" s="41" t="n">
        <f aca="false">IF(AND(Tasks[[#This Row],[Task Name]]&lt;&gt;"",NOT(Tasks[[#This Row],[_IsSummary]])),1,0)</f>
        <v>0</v>
      </c>
      <c r="BY40" s="41" t="n">
        <f aca="false">IF(N(Tasks[[#This Row],[Pred1 UID]])=0,0,IFERROR(MATCH(Tasks[[#This Row],[Pred1 UID]],Tasks[UID],0),-1))</f>
        <v>0</v>
      </c>
      <c r="BZ40" s="41" t="n">
        <f aca="false">IF(N(Tasks[[#This Row],[Pred2 UID]])=0,0,IFERROR(MATCH(Tasks[[#This Row],[Pred2 UID]],Tasks[UID],0),-1))</f>
        <v>0</v>
      </c>
      <c r="CA40" s="41" t="n">
        <f aca="false">IF(N(Tasks[[#This Row],[Pred3 UID]])=0,0,IFERROR(MATCH(Tasks[[#This Row],[Pred3 UID]],Tasks[UID],0),-1))</f>
        <v>0</v>
      </c>
      <c r="CB40" s="41" t="n">
        <f aca="false">IF(N(Tasks[[#This Row],[Pred4 UID]])=0,0,IFERROR(MATCH(Tasks[[#This Row],[Pred4 UID]],Tasks[UID],0),-1))</f>
        <v>0</v>
      </c>
      <c r="CC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0" s="101" t="n">
        <f aca="false">IF(OR(Tasks[[#This Row],[_ConstraintCode]]=2,Tasks[[#This Row],[_ConstraintCode]]=3,Tasks[[#This Row],[_ConstraintCode]]=4,Tasks[[#This Row],[_ConstraintCode]]=6),Tasks[[#This Row],[_ConstraintStart]],0)</f>
        <v>0</v>
      </c>
      <c r="CF40" s="101" t="n">
        <f aca="false">IF(OR(Tasks[[#This Row],[_ConstraintCode]]=2,Tasks[[#This Row],[_ConstraintCode]]=3,Tasks[[#This Row],[_ConstraintCode]]=5,Tasks[[#This Row],[_ConstraintCode]]=7),Tasks[[#This Row],[_ConstraintStart]],2958465)</f>
        <v>2958465</v>
      </c>
      <c r="CG4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0" s="101" t="str">
        <f aca="false">IF(NOT(Tasks[[#This Row],[_IsLeaf]]=1),"",IF(N(Tasks[[#This Row],[Duration]])&lt;=0,Tasks[[#This Row],[_LeafCalcStart]],WORKDAY.INTL(Tasks[[#This Row],[_LeafCalcStart]],Tasks[[#This Row],[Duration]]-1,WorkWeek,Holidays)))</f>
        <v/>
      </c>
      <c r="CI4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0" s="41" t="n">
        <f aca="false">IF(NOT(Tasks[[#This Row],[_IsLeaf]]=1),0,IF(N(Tasks[[#This Row],[Actual Finish]])&gt;0,1,MIN(1,N(Tasks[[#This Row],[% Complete]]))))</f>
        <v>0</v>
      </c>
      <c r="CL40" s="41" t="n">
        <f aca="false">IF(OR(NOT(Tasks[[#This Row],[_IsLeaf]]=1),Tasks[[#This Row],[Resource]]=""),0,N(Tasks[[#This Row],[Duration]])*HoursPerDay*IF(Tasks[[#This Row],[Units]]="",DefaultUnits,Tasks[[#This Row],[Units]]))</f>
        <v>0</v>
      </c>
      <c r="CM40" s="41" t="n">
        <f aca="false">IF(Tasks[[#This Row],[_LeafWork]]=0,0,Tasks[[#This Row],[_LeafWork]]*IFERROR(INDEX(res_Rate,MATCH(Tasks[[#This Row],[Resource]],res_Name,0)),0))</f>
        <v>0</v>
      </c>
      <c r="CN40" s="41" t="n">
        <f aca="false">Tasks[[#This Row],[_LeafWork]]+IF(Tasks[[#This Row],[_IsLeaf]]=1,SUMIFS(asg_Work,asg_TaskUID,Tasks[[#This Row],[UID]],asg_Valid,1),0)</f>
        <v>0</v>
      </c>
      <c r="CO40" s="41" t="n">
        <f aca="false">Tasks[[#This Row],[_LeafCost]]+IF(Tasks[[#This Row],[_IsLeaf]]=1,SUMIFS(asg_Cost,asg_TaskUID,Tasks[[#This Row],[UID]],asg_Valid,1),0)</f>
        <v>0</v>
      </c>
      <c r="CP40" s="41" t="n">
        <f aca="false">IF(Tasks[[#This Row],[_LeafTotalCost]]=0,Tasks[[#This Row],[_LeafAC]],Tasks[[#This Row],[_LeafAC]]*Tasks[[#This Row],[_LeafCost]]/Tasks[[#This Row],[_LeafTotalCost]])</f>
        <v>0</v>
      </c>
      <c r="CQ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0" s="41" t="n">
        <f aca="false">IF(NOT(Tasks[[#This Row],[_IsLeaf]]=1),0,MAX(_xlfn.MAXIFS(Tasks[_Row],Tasks[Pred1 UID],Tasks[[#This Row],[UID]]),_xlfn.MAXIFS(Tasks[_Row],Tasks[Pred2 UID],Tasks[[#This Row],[UID]]),_xlfn.MAXIFS(Tasks[_Row],Tasks[Pred3 UID],Tasks[[#This Row],[UID]]),_xlfn.MAXIFS(Tasks[_Row],Tasks[Pred4 UID],Tasks[[#This Row],[UID]])))</f>
        <v>0</v>
      </c>
      <c r="CZ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0" s="101" t="str">
        <f aca="false">IF(NOT(Tasks[[#This Row],[_IsLeaf]]=1),"",IF(N(Tasks[[#This Row],[Duration]])&lt;=0,Tasks[[#This Row],[_LeafLateFinish]],WORKDAY.INTL(Tasks[[#This Row],[_LeafLateFinish]],-(Tasks[[#This Row],[Duration]]-1),WorkWeek,Holidays)))</f>
        <v/>
      </c>
      <c r="DC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0" s="100" t="b">
        <f aca="false">AND(Tasks[[#This Row],[_IsLeaf]]=1,Tasks[[#This Row],[_LeafProgress]]&lt;1,N(Tasks[[#This Row],[_LeafTotalSlack]])&lt;=CriticalSlackDays)</f>
        <v>0</v>
      </c>
      <c r="DE40" s="41" t="n">
        <f aca="false">IF(AND(Tasks[[#This Row],[_IsLeaf]]=1,Tasks[[#This Row],[_ConstraintCode]]=1,Tasks[[#This Row],[Mode]]&lt;&gt;"Manual",N(Tasks[[#This Row],[Actual Start]])=0),MAX(0,N(Tasks[[#This Row],[Free Slack]])),0)</f>
        <v>0</v>
      </c>
      <c r="DF40" s="101" t="str">
        <f aca="false">IF(NOT(Tasks[[#This Row],[_IsLeaf]]=1),"",IF(Tasks[[#This Row],[_AlapShift]]=0,Tasks[[#This Row],[_LeafCalcStart]],WORKDAY.INTL(Tasks[[#This Row],[_LeafCalcStart]],Tasks[[#This Row],[_AlapShift]],WorkWeek,Holidays)))</f>
        <v/>
      </c>
      <c r="DG40" s="101" t="str">
        <f aca="false">IF(NOT(Tasks[[#This Row],[_IsLeaf]]=1),"",IF(Tasks[[#This Row],[_AlapShift]]=0,Tasks[[#This Row],[_LeafCalcFinish]],WORKDAY.INTL(Tasks[[#This Row],[_LeafCalcFinish]],Tasks[[#This Row],[_AlapShift]],WorkWeek,Holidays)))</f>
        <v/>
      </c>
      <c r="DH40" s="101" t="str">
        <f aca="false">IF(NOT(Tasks[[#This Row],[_IsLeaf]]=1),"",IF(Tasks[[#This Row],[_AlapShift]]=0,Tasks[[#This Row],[_LeafFcstStart]],WORKDAY.INTL(Tasks[[#This Row],[_LeafFcstStart]],Tasks[[#This Row],[_AlapShift]],WorkWeek,Holidays)))</f>
        <v/>
      </c>
      <c r="DI40" s="101" t="str">
        <f aca="false">IF(NOT(Tasks[[#This Row],[_IsLeaf]]=1),"",IF(Tasks[[#This Row],[_AlapShift]]=0,Tasks[[#This Row],[_LeafFcstFinish]],WORKDAY.INTL(Tasks[[#This Row],[_LeafFcstFinish]],Tasks[[#This Row],[_AlapShift]],WorkWeek,Holidays)))</f>
        <v/>
      </c>
      <c r="DJ40" s="101" t="str">
        <f aca="false">IF(Tasks[[#This Row],[Task Name]]="","",IF(Tasks[[#This Row],[_IsSummary]],MIN(INDEX(Tasks[_ShownCalcStart],Tasks[[#This Row],[_Row]]+1):INDEX(Tasks[_ShownCalcStart],Tasks[[#This Row],[_Row]]+Tasks[[#This Row],[_Descendants]])),Tasks[[#This Row],[_ShownCalcStart]]))</f>
        <v/>
      </c>
      <c r="DK40" s="101" t="str">
        <f aca="false">IF(Tasks[[#This Row],[Task Name]]="","",IF(Tasks[[#This Row],[_IsSummary]],MAX(INDEX(Tasks[_ShownCalcFinish],Tasks[[#This Row],[_Row]]+1):INDEX(Tasks[_ShownCalcFinish],Tasks[[#This Row],[_Row]]+Tasks[[#This Row],[_Descendants]])),Tasks[[#This Row],[_ShownCalcFinish]]))</f>
        <v/>
      </c>
      <c r="D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0" s="41" t="n">
        <f aca="false">IF(AND(Tasks[[#This Row],[_IsLeaf]]=1,Tasks[[#This Row],[_LeafTotalWork]]&gt;0),NETWORKDAYS.INTL(ProjectStart,Tasks[[#This Row],[_ShownFcstStart]],WorkWeek,Holidays),0)</f>
        <v>0</v>
      </c>
      <c r="DY40" s="41" t="n">
        <f aca="false">IF(AND(Tasks[[#This Row],[_IsLeaf]]=1,Tasks[[#This Row],[_LeafTotalWork]]&gt;0),MAX(Tasks[[#This Row],[_StartWorkday]],NETWORKDAYS.INTL(ProjectStart,Tasks[[#This Row],[_ShownFcstFinish]],WorkWeek,Holidays)),0)</f>
        <v>0</v>
      </c>
      <c r="DZ40" s="41" t="n">
        <f aca="false">IF(AND(Tasks[[#This Row],[_IsLeaf]]=1,Tasks[[#This Row],[_LeafTotalWork]]&gt;0),Tasks[[#This Row],[_LeafWork]]/(Tasks[[#This Row],[_FinishWorkday]]-Tasks[[#This Row],[_StartWorkday]]+1),0)</f>
        <v>0</v>
      </c>
      <c r="EA40" s="41" t="n">
        <f aca="false">Tasks[[#This Row],[_WorkPerWorkday]]*(Tasks[[#This Row],[_StartWorkday]]-1)</f>
        <v>-0</v>
      </c>
      <c r="EB40" s="41" t="n">
        <f aca="false">IF(Tasks[[#This Row],[_IsLeaf]]=1,MAX(N(Tasks[[#This Row],[Duration]]),0.1),0)</f>
        <v>0</v>
      </c>
      <c r="EC40" s="41" t="n">
        <f aca="false">Tasks[[#This Row],[_WeightDur]]*Tasks[[#This Row],[_LeafProgress]]</f>
        <v>0</v>
      </c>
      <c r="ED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0" s="41" t="str">
        <f aca="false">IF(AND(Tasks[[#This Row],[_IsLeaf]]=1,N(Tasks[[#This Row],[Duration]])=0,Tasks[[#This Row],[_LeafProgress]]&lt;1),Tasks[[#This Row],[_ShownFcstFinish]]+Tasks[[#This Row],[_Row]]/100000,"")</f>
        <v/>
      </c>
      <c r="EF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0" s="41" t="n">
        <f aca="false">IF(NOT(Tasks[[#This Row],[_IsLeaf]]=1),0,IF(Tasks[[#This Row],[Baseline Cost]]="",Tasks[[#This Row],[_LeafTotalCost]],N(Tasks[[#This Row],[Baseline Cost]])))</f>
        <v>0</v>
      </c>
      <c r="EH40" s="41" t="n">
        <f aca="false">Tasks[[#This Row],[_LeafBudget]]*Tasks[[#This Row],[_PlannedPct]]</f>
        <v>0</v>
      </c>
      <c r="EI40" s="41" t="n">
        <f aca="false">Tasks[[#This Row],[_LeafBudget]]*Tasks[[#This Row],[_LeafProgress]]</f>
        <v>0</v>
      </c>
      <c r="EJ40" s="41" t="n">
        <f aca="false">IF(NOT(Tasks[[#This Row],[_IsLeaf]]=1),0,IF(Tasks[[#This Row],[Actual Cost]]="",Tasks[[#This Row],[_LeafTotalCost]]*Tasks[[#This Row],[_LeafProgress]],N(Tasks[[#This Row],[Actual Cost]])))</f>
        <v>0</v>
      </c>
      <c r="EK40" s="41" t="str">
        <f aca="false">IF(Tasks[[#This Row],[Task Name]]="","",LEFT(Tasks[[#This Row],[WBS]],FIND(".",Tasks[[#This Row],[WBS]]&amp;".")-1))</f>
        <v/>
      </c>
      <c r="EL40" s="41" t="str">
        <f aca="false">IF(AND(Tasks[[#This Row],[Task Name]]&lt;&gt;"",Tasks[[#This Row],[_Level]]=1),Tasks[[#This Row],[_Row]],"")</f>
        <v/>
      </c>
      <c r="EM40" s="41" t="str">
        <f aca="false">IF(AND(Tasks[[#This Row],[_IsLeaf]]=1,N(Tasks[[#This Row],[Duration]])=0),Tasks[[#This Row],[Planned Finish]]+Tasks[[#This Row],[_Row]]/100000,"")</f>
        <v/>
      </c>
      <c r="EN40" s="41" t="str">
        <f aca="false">IF(AND(Tasks[[#This Row],[_IsLeaf]]=1,Tasks[[#This Row],[_LeafProgress]]&lt;1,OR(N(Tasks[[#This Row],[Finish Var]])&gt;0,Tasks[[#This Row],[Status]]="Late Start")),MAX(0,Tasks[[#This Row],[Finish Var]])+1-Tasks[[#This Row],[_Row]]/1000000,"")</f>
        <v/>
      </c>
      <c r="EO40" s="41" t="str">
        <f aca="false">IF(AND(Tasks[[#This Row],[_IsLeaf]]=1,N(Tasks[[#This Row],[Actual Start]])=0,Tasks[[#This Row],[_ShownFcstStart]]&gt;=StatusDate,Tasks[[#This Row],[_ShownFcstStart]]&lt;=LookaheadEnd),Tasks[[#This Row],[_ShownFcstStart]]+Tasks[[#This Row],[_Row]]/100000,"")</f>
        <v/>
      </c>
      <c r="EP40" s="41" t="str">
        <f aca="false">IF(AND(Tasks[[#This Row],[_IsLeaf]]=1,Tasks[[#This Row],[_LeafProgress]]&lt;1,Tasks[[#This Row],[_ShownFcstFinish]]&gt;=StatusDate,Tasks[[#This Row],[_ShownFcstFinish]]&lt;=LookaheadEnd),Tasks[[#This Row],[_ShownFcstFinish]]+Tasks[[#This Row],[_Row]]/100000,"")</f>
        <v/>
      </c>
      <c r="EQ40" s="41" t="str">
        <f aca="false">IF(Tasks[[#This Row],[_LeafCritical]],Tasks[[#This Row],[_ShownFcstStart]]+Tasks[[#This Row],[_Row]]/100000,"")</f>
        <v/>
      </c>
      <c r="ER40" s="41" t="n">
        <f aca="false">Tasks[[#This Row],[_LeafWork]]*Tasks[[#This Row],[_LeafProgress]]</f>
        <v>0</v>
      </c>
      <c r="ES40" s="101" t="str">
        <f aca="false">IF(AND(Tasks[[#This Row],[_IsLeaf]]=1,Tasks[[#This Row],[_LeafProgress]]&gt;=1),IF(N(Tasks[[#This Row],[Actual Finish]])&gt;0,Tasks[[#This Row],[Actual Finish]],Tasks[[#This Row],[_ShownFcstFinish]]),"")</f>
        <v/>
      </c>
      <c r="ET40" s="41" t="n">
        <f aca="false">IF(Tasks[[#This Row],[_IsLeaf]]=1,N(Tasks[[#This Row],[Story Points]]),0)</f>
        <v>0</v>
      </c>
      <c r="EU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29"/>
      <c r="O41" s="29"/>
      <c r="P41" s="29"/>
      <c r="Q41" s="29"/>
      <c r="R41" s="29"/>
      <c r="S41" s="29"/>
      <c r="T41" s="30"/>
      <c r="U41" s="75"/>
      <c r="V41" s="75"/>
      <c r="W41" s="25" t="str">
        <f aca="false">IF(Tasks[[#This Row],[Task Name]]="","",IF(N(Tasks[[#This Row],[Baseline Start]])&gt;0,Tasks[[#This Row],[Baseline Start]],Tasks[[#This Row],[_CalcStart]]))</f>
        <v/>
      </c>
      <c r="X41" s="25" t="str">
        <f aca="false">IF(Tasks[[#This Row],[Task Name]]="","",IF(N(Tasks[[#This Row],[Baseline Finish]])&gt;0,Tasks[[#This Row],[Baseline Finish]],Tasks[[#This Row],[_CalcFinish]]))</f>
        <v/>
      </c>
      <c r="Y41" s="75"/>
      <c r="Z41" s="75"/>
      <c r="AA41" s="25" t="str">
        <f aca="false">IF(Tasks[[#This Row],[Task Name]]="","",IF(Tasks[[#This Row],[_IsSummary]],MIN(INDEX(Tasks[_ShownFcstStart],Tasks[[#This Row],[_Row]]+1):INDEX(Tasks[_ShownFcstStart],Tasks[[#This Row],[_Row]]+Tasks[[#This Row],[_Descendants]])),Tasks[[#This Row],[_ShownFcstStart]]))</f>
        <v/>
      </c>
      <c r="AB41" s="25" t="str">
        <f aca="false">IF(Tasks[[#This Row],[Task Name]]="","",IF(Tasks[[#This Row],[_IsSummary]],MAX(INDEX(Tasks[_ShownFcstFinish],Tasks[[#This Row],[_Row]]+1):INDEX(Tasks[_ShownFcstFinish],Tasks[[#This Row],[_Row]]+Tasks[[#This Row],[_Descendants]])),Tasks[[#This Row],[_ShownFcstFinish]]))</f>
        <v/>
      </c>
      <c r="AC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1" s="25" t="str">
        <f aca="false">IF(Tasks[[#This Row],[Task Name]]="","",IF(Tasks[[#This Row],[_IsSummary]],MIN(INDEX(Tasks[_LeafLateStart],Tasks[[#This Row],[_Row]]+1):INDEX(Tasks[_LeafLateStart],Tasks[[#This Row],[_Row]]+Tasks[[#This Row],[_Descendants]])),Tasks[[#This Row],[_LeafLateStart]]))</f>
        <v/>
      </c>
      <c r="AF41" s="25" t="str">
        <f aca="false">IF(Tasks[[#This Row],[Task Name]]="","",IF(Tasks[[#This Row],[_IsSummary]],MAX(INDEX(Tasks[_LeafLateFinish],Tasks[[#This Row],[_Row]]+1):INDEX(Tasks[_LeafLateFinish],Tasks[[#This Row],[_Row]]+Tasks[[#This Row],[_Descendants]])),Tasks[[#This Row],[_LeafLateFinish]]))</f>
        <v/>
      </c>
      <c r="AG41" s="28" t="str">
        <f aca="false">IF(Tasks[[#This Row],[Task Name]]="","",IF(Tasks[[#This Row],[_IsSummary]],MIN(INDEX(Tasks[_LeafTotalSlack],Tasks[[#This Row],[_Row]]+1):INDEX(Tasks[_LeafTotalSlack],Tasks[[#This Row],[_Row]]+Tasks[[#This Row],[_Descendants]])),Tasks[[#This Row],[_LeafTotalSlack]]))</f>
        <v/>
      </c>
      <c r="AH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1" s="28" t="str">
        <f aca="false">IF(Tasks[[#This Row],[Task Name]]="","",IF(IF(Tasks[[#This Row],[_IsSummary]],COUNTIF(INDEX(Tasks[_LeafCritical],Tasks[[#This Row],[_Row]]+1):INDEX(Tasks[_LeafCritical],Tasks[[#This Row],[_Row]]+Tasks[[#This Row],[_Descendants]]),TRUE())&gt;0,Tasks[[#This Row],[_LeafCritical]]),"Yes",""))</f>
        <v/>
      </c>
      <c r="AJ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1" s="89"/>
      <c r="AM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1" s="28" t="str">
        <f aca="false">IF(Tasks[[#This Row],[Task Name]]="","",IF(Tasks[[#This Row],[Progress]]&gt;=1,"Complete",IF(OR(N(Tasks[[#This Row],[Actual Start]])&gt;0,Tasks[[#This Row],[Progress]]&gt;0),IF(Tasks[[#This Row],[Finish Var]]&gt;0,"Behind","In Progress"),IF(Tasks[[#This Row],[Planned Start]]&lt;StatusDate,"Late Start","Not Started"))))</f>
        <v/>
      </c>
      <c r="AO41" s="30"/>
      <c r="AP41" s="89"/>
      <c r="AQ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1" s="96" t="str">
        <f aca="false">IF(Tasks[[#This Row],[Task Name]]="","",IF(Tasks[[#This Row],[_IsSummary]],SUM(INDEX(Tasks[_LeafTotalWork],Tasks[[#This Row],[_Row]]+1):INDEX(Tasks[_LeafTotalWork],Tasks[[#This Row],[_Row]]+Tasks[[#This Row],[_Descendants]])),Tasks[[#This Row],[_LeafTotalWork]]))</f>
        <v/>
      </c>
      <c r="AT41" s="97" t="str">
        <f aca="false">IF(Tasks[[#This Row],[Task Name]]="","",IF(Tasks[[#This Row],[_IsSummary]],SUM(INDEX(Tasks[_LeafTotalCost],Tasks[[#This Row],[_Row]]+1):INDEX(Tasks[_LeafTotalCost],Tasks[[#This Row],[_Row]]+Tasks[[#This Row],[_Descendants]])),Tasks[[#This Row],[_LeafTotalCost]]))</f>
        <v/>
      </c>
      <c r="AU41" s="98"/>
      <c r="AV41" s="29"/>
      <c r="AW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1" s="83"/>
      <c r="AY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1" s="30"/>
      <c r="BA41" s="25" t="str">
        <f aca="false">IF(Tasks[[#This Row],[Task Name]]="","",Tasks[[#This Row],[Forecast Start]])</f>
        <v/>
      </c>
      <c r="BB41" s="25" t="str">
        <f aca="false">IF(Tasks[[#This Row],[Task Name]]="","",Tasks[[#This Row],[Forecast Finish]])</f>
        <v/>
      </c>
      <c r="BC41" s="28" t="str">
        <f aca="false">IF(Tasks[[#This Row],[Task Name]]="","",IF(Tasks[[#This Row],[_IsSummary]],NETWORKDAYS.INTL(Tasks[[#This Row],[Forecast Start]],Tasks[[#This Row],[Forecast Finish]],WorkWeek,Holidays),N(Tasks[[#This Row],[Duration]])))</f>
        <v/>
      </c>
      <c r="BD41" s="96" t="str">
        <f aca="false">IF(Tasks[[#This Row],[Task Name]]="","",Tasks[[#This Row],[Work]])</f>
        <v/>
      </c>
      <c r="BE41" s="97" t="str">
        <f aca="false">IF(Tasks[[#This Row],[Task Name]]="","",Tasks[[#This Row],[Cost]])</f>
        <v/>
      </c>
      <c r="BF41" s="75"/>
      <c r="BG41" s="75"/>
      <c r="BH41" s="29"/>
      <c r="BI41" s="99"/>
      <c r="BJ41" s="98"/>
      <c r="BK41" s="28" t="str">
        <f aca="false">IF(OR(Tasks[[#This Row],[Task Name]]="",Tasks[[#This Row],[Baseline Duration]]=""),"",Tasks[[#This Row],[BL Source Duration]]-N(Tasks[[#This Row],[Baseline Duration]]))</f>
        <v/>
      </c>
      <c r="BL41" s="96" t="str">
        <f aca="false">IF(OR(Tasks[[#This Row],[Task Name]]="",Tasks[[#This Row],[Baseline Work]]=""),"",Tasks[[#This Row],[Work]]-N(Tasks[[#This Row],[Baseline Work]]))</f>
        <v/>
      </c>
      <c r="BM41" s="97" t="str">
        <f aca="false">IF(OR(Tasks[[#This Row],[Task Name]]="",Tasks[[#This Row],[Baseline Cost]]=""),"",Tasks[[#This Row],[Cost]]-N(Tasks[[#This Row],[Baseline Cost]]))</f>
        <v/>
      </c>
      <c r="BN41" s="97" t="str">
        <f aca="false">IF(Tasks[[#This Row],[Task Name]]="","",IF(Tasks[[#This Row],[_IsSummary]],SUM(INDEX(Tasks[_LeafBudget],Tasks[[#This Row],[_Row]]+1):INDEX(Tasks[_LeafBudget],Tasks[[#This Row],[_Row]]+Tasks[[#This Row],[_Descendants]])),Tasks[[#This Row],[_LeafBudget]]))</f>
        <v/>
      </c>
      <c r="BO41" s="97" t="str">
        <f aca="false">IF(Tasks[[#This Row],[Task Name]]="","",IF(Tasks[[#This Row],[_IsSummary]],SUM(INDEX(Tasks[_LeafPV],Tasks[[#This Row],[_Row]]+1):INDEX(Tasks[_LeafPV],Tasks[[#This Row],[_Row]]+Tasks[[#This Row],[_Descendants]])),Tasks[[#This Row],[_LeafPV]]))</f>
        <v/>
      </c>
      <c r="BP41" s="97" t="str">
        <f aca="false">IF(Tasks[[#This Row],[Task Name]]="","",IF(Tasks[[#This Row],[_IsSummary]],SUM(INDEX(Tasks[_LeafEV],Tasks[[#This Row],[_Row]]+1):INDEX(Tasks[_LeafEV],Tasks[[#This Row],[_Row]]+Tasks[[#This Row],[_Descendants]])),Tasks[[#This Row],[_LeafEV]]))</f>
        <v/>
      </c>
      <c r="BQ41" s="97" t="str">
        <f aca="false">IF(Tasks[[#This Row],[Task Name]]="","",IF(Tasks[[#This Row],[_IsSummary]],SUM(INDEX(Tasks[_LeafAC],Tasks[[#This Row],[_Row]]+1):INDEX(Tasks[_LeafAC],Tasks[[#This Row],[_Row]]+Tasks[[#This Row],[_Descendants]])),Tasks[[#This Row],[_LeafAC]]))</f>
        <v/>
      </c>
      <c r="BR41" s="41" t="str">
        <f aca="false">IF(Tasks[[#This Row],[Task Name]]="","",MAX(1,N(Tasks[[#This Row],[Level]])))</f>
        <v/>
      </c>
      <c r="BS41" s="41" t="n">
        <f aca="false">ROW()-ROW(Tasks[[#Headers],[ID]])</f>
        <v>36</v>
      </c>
      <c r="BT41" s="41" t="n">
        <f aca="false">IF(OR(Tasks[[#This Row],[Task Name]]="",Tasks[[#This Row],[_Level]]&lt;=1),0,IFERROR(LOOKUP(2,1/(Tasks[[#Headers],[_Level]]:Tasks[[#This Row],[_Level]]=Tasks[[#This Row],[_Level]]-1),ROW(Tasks[[#Headers],[_Level]]:Tasks[[#This Row],[_Level]])),0))</f>
        <v>0</v>
      </c>
      <c r="BU41" s="41" t="n">
        <f aca="false">IFERROR(N(INDEX(Tasks[_Level],Tasks[[#This Row],[_Row]]+1)),0)</f>
        <v>0</v>
      </c>
      <c r="BV41" s="100" t="b">
        <f aca="false">AND(Tasks[[#This Row],[Task Name]]&lt;&gt;"",Tasks[[#This Row],[_NextLevel]]&gt;Tasks[[#This Row],[_Level]])</f>
        <v>0</v>
      </c>
      <c r="BW41" s="41" t="n">
        <f aca="false">IF(Tasks[[#This Row],[_IsSummary]],COUNTIF(Tasks[WBS],Tasks[[#This Row],[WBS]]&amp;".*"),0)</f>
        <v>0</v>
      </c>
      <c r="BX41" s="41" t="n">
        <f aca="false">IF(AND(Tasks[[#This Row],[Task Name]]&lt;&gt;"",NOT(Tasks[[#This Row],[_IsSummary]])),1,0)</f>
        <v>0</v>
      </c>
      <c r="BY41" s="41" t="n">
        <f aca="false">IF(N(Tasks[[#This Row],[Pred1 UID]])=0,0,IFERROR(MATCH(Tasks[[#This Row],[Pred1 UID]],Tasks[UID],0),-1))</f>
        <v>0</v>
      </c>
      <c r="BZ41" s="41" t="n">
        <f aca="false">IF(N(Tasks[[#This Row],[Pred2 UID]])=0,0,IFERROR(MATCH(Tasks[[#This Row],[Pred2 UID]],Tasks[UID],0),-1))</f>
        <v>0</v>
      </c>
      <c r="CA41" s="41" t="n">
        <f aca="false">IF(N(Tasks[[#This Row],[Pred3 UID]])=0,0,IFERROR(MATCH(Tasks[[#This Row],[Pred3 UID]],Tasks[UID],0),-1))</f>
        <v>0</v>
      </c>
      <c r="CB41" s="41" t="n">
        <f aca="false">IF(N(Tasks[[#This Row],[Pred4 UID]])=0,0,IFERROR(MATCH(Tasks[[#This Row],[Pred4 UID]],Tasks[UID],0),-1))</f>
        <v>0</v>
      </c>
      <c r="CC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1" s="101" t="n">
        <f aca="false">IF(OR(Tasks[[#This Row],[_ConstraintCode]]=2,Tasks[[#This Row],[_ConstraintCode]]=3,Tasks[[#This Row],[_ConstraintCode]]=4,Tasks[[#This Row],[_ConstraintCode]]=6),Tasks[[#This Row],[_ConstraintStart]],0)</f>
        <v>0</v>
      </c>
      <c r="CF41" s="101" t="n">
        <f aca="false">IF(OR(Tasks[[#This Row],[_ConstraintCode]]=2,Tasks[[#This Row],[_ConstraintCode]]=3,Tasks[[#This Row],[_ConstraintCode]]=5,Tasks[[#This Row],[_ConstraintCode]]=7),Tasks[[#This Row],[_ConstraintStart]],2958465)</f>
        <v>2958465</v>
      </c>
      <c r="CG4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1" s="101" t="str">
        <f aca="false">IF(NOT(Tasks[[#This Row],[_IsLeaf]]=1),"",IF(N(Tasks[[#This Row],[Duration]])&lt;=0,Tasks[[#This Row],[_LeafCalcStart]],WORKDAY.INTL(Tasks[[#This Row],[_LeafCalcStart]],Tasks[[#This Row],[Duration]]-1,WorkWeek,Holidays)))</f>
        <v/>
      </c>
      <c r="CI4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1" s="41" t="n">
        <f aca="false">IF(NOT(Tasks[[#This Row],[_IsLeaf]]=1),0,IF(N(Tasks[[#This Row],[Actual Finish]])&gt;0,1,MIN(1,N(Tasks[[#This Row],[% Complete]]))))</f>
        <v>0</v>
      </c>
      <c r="CL41" s="41" t="n">
        <f aca="false">IF(OR(NOT(Tasks[[#This Row],[_IsLeaf]]=1),Tasks[[#This Row],[Resource]]=""),0,N(Tasks[[#This Row],[Duration]])*HoursPerDay*IF(Tasks[[#This Row],[Units]]="",DefaultUnits,Tasks[[#This Row],[Units]]))</f>
        <v>0</v>
      </c>
      <c r="CM41" s="41" t="n">
        <f aca="false">IF(Tasks[[#This Row],[_LeafWork]]=0,0,Tasks[[#This Row],[_LeafWork]]*IFERROR(INDEX(res_Rate,MATCH(Tasks[[#This Row],[Resource]],res_Name,0)),0))</f>
        <v>0</v>
      </c>
      <c r="CN41" s="41" t="n">
        <f aca="false">Tasks[[#This Row],[_LeafWork]]+IF(Tasks[[#This Row],[_IsLeaf]]=1,SUMIFS(asg_Work,asg_TaskUID,Tasks[[#This Row],[UID]],asg_Valid,1),0)</f>
        <v>0</v>
      </c>
      <c r="CO41" s="41" t="n">
        <f aca="false">Tasks[[#This Row],[_LeafCost]]+IF(Tasks[[#This Row],[_IsLeaf]]=1,SUMIFS(asg_Cost,asg_TaskUID,Tasks[[#This Row],[UID]],asg_Valid,1),0)</f>
        <v>0</v>
      </c>
      <c r="CP41" s="41" t="n">
        <f aca="false">IF(Tasks[[#This Row],[_LeafTotalCost]]=0,Tasks[[#This Row],[_LeafAC]],Tasks[[#This Row],[_LeafAC]]*Tasks[[#This Row],[_LeafCost]]/Tasks[[#This Row],[_LeafTotalCost]])</f>
        <v>0</v>
      </c>
      <c r="CQ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1" s="41" t="n">
        <f aca="false">IF(NOT(Tasks[[#This Row],[_IsLeaf]]=1),0,MAX(_xlfn.MAXIFS(Tasks[_Row],Tasks[Pred1 UID],Tasks[[#This Row],[UID]]),_xlfn.MAXIFS(Tasks[_Row],Tasks[Pred2 UID],Tasks[[#This Row],[UID]]),_xlfn.MAXIFS(Tasks[_Row],Tasks[Pred3 UID],Tasks[[#This Row],[UID]]),_xlfn.MAXIFS(Tasks[_Row],Tasks[Pred4 UID],Tasks[[#This Row],[UID]])))</f>
        <v>0</v>
      </c>
      <c r="CZ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1" s="101" t="str">
        <f aca="false">IF(NOT(Tasks[[#This Row],[_IsLeaf]]=1),"",IF(N(Tasks[[#This Row],[Duration]])&lt;=0,Tasks[[#This Row],[_LeafLateFinish]],WORKDAY.INTL(Tasks[[#This Row],[_LeafLateFinish]],-(Tasks[[#This Row],[Duration]]-1),WorkWeek,Holidays)))</f>
        <v/>
      </c>
      <c r="DC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1" s="100" t="b">
        <f aca="false">AND(Tasks[[#This Row],[_IsLeaf]]=1,Tasks[[#This Row],[_LeafProgress]]&lt;1,N(Tasks[[#This Row],[_LeafTotalSlack]])&lt;=CriticalSlackDays)</f>
        <v>0</v>
      </c>
      <c r="DE41" s="41" t="n">
        <f aca="false">IF(AND(Tasks[[#This Row],[_IsLeaf]]=1,Tasks[[#This Row],[_ConstraintCode]]=1,Tasks[[#This Row],[Mode]]&lt;&gt;"Manual",N(Tasks[[#This Row],[Actual Start]])=0),MAX(0,N(Tasks[[#This Row],[Free Slack]])),0)</f>
        <v>0</v>
      </c>
      <c r="DF41" s="101" t="str">
        <f aca="false">IF(NOT(Tasks[[#This Row],[_IsLeaf]]=1),"",IF(Tasks[[#This Row],[_AlapShift]]=0,Tasks[[#This Row],[_LeafCalcStart]],WORKDAY.INTL(Tasks[[#This Row],[_LeafCalcStart]],Tasks[[#This Row],[_AlapShift]],WorkWeek,Holidays)))</f>
        <v/>
      </c>
      <c r="DG41" s="101" t="str">
        <f aca="false">IF(NOT(Tasks[[#This Row],[_IsLeaf]]=1),"",IF(Tasks[[#This Row],[_AlapShift]]=0,Tasks[[#This Row],[_LeafCalcFinish]],WORKDAY.INTL(Tasks[[#This Row],[_LeafCalcFinish]],Tasks[[#This Row],[_AlapShift]],WorkWeek,Holidays)))</f>
        <v/>
      </c>
      <c r="DH41" s="101" t="str">
        <f aca="false">IF(NOT(Tasks[[#This Row],[_IsLeaf]]=1),"",IF(Tasks[[#This Row],[_AlapShift]]=0,Tasks[[#This Row],[_LeafFcstStart]],WORKDAY.INTL(Tasks[[#This Row],[_LeafFcstStart]],Tasks[[#This Row],[_AlapShift]],WorkWeek,Holidays)))</f>
        <v/>
      </c>
      <c r="DI41" s="101" t="str">
        <f aca="false">IF(NOT(Tasks[[#This Row],[_IsLeaf]]=1),"",IF(Tasks[[#This Row],[_AlapShift]]=0,Tasks[[#This Row],[_LeafFcstFinish]],WORKDAY.INTL(Tasks[[#This Row],[_LeafFcstFinish]],Tasks[[#This Row],[_AlapShift]],WorkWeek,Holidays)))</f>
        <v/>
      </c>
      <c r="DJ41" s="101" t="str">
        <f aca="false">IF(Tasks[[#This Row],[Task Name]]="","",IF(Tasks[[#This Row],[_IsSummary]],MIN(INDEX(Tasks[_ShownCalcStart],Tasks[[#This Row],[_Row]]+1):INDEX(Tasks[_ShownCalcStart],Tasks[[#This Row],[_Row]]+Tasks[[#This Row],[_Descendants]])),Tasks[[#This Row],[_ShownCalcStart]]))</f>
        <v/>
      </c>
      <c r="DK41" s="101" t="str">
        <f aca="false">IF(Tasks[[#This Row],[Task Name]]="","",IF(Tasks[[#This Row],[_IsSummary]],MAX(INDEX(Tasks[_ShownCalcFinish],Tasks[[#This Row],[_Row]]+1):INDEX(Tasks[_ShownCalcFinish],Tasks[[#This Row],[_Row]]+Tasks[[#This Row],[_Descendants]])),Tasks[[#This Row],[_ShownCalcFinish]]))</f>
        <v/>
      </c>
      <c r="D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1" s="41" t="n">
        <f aca="false">IF(AND(Tasks[[#This Row],[_IsLeaf]]=1,Tasks[[#This Row],[_LeafTotalWork]]&gt;0),NETWORKDAYS.INTL(ProjectStart,Tasks[[#This Row],[_ShownFcstStart]],WorkWeek,Holidays),0)</f>
        <v>0</v>
      </c>
      <c r="DY41" s="41" t="n">
        <f aca="false">IF(AND(Tasks[[#This Row],[_IsLeaf]]=1,Tasks[[#This Row],[_LeafTotalWork]]&gt;0),MAX(Tasks[[#This Row],[_StartWorkday]],NETWORKDAYS.INTL(ProjectStart,Tasks[[#This Row],[_ShownFcstFinish]],WorkWeek,Holidays)),0)</f>
        <v>0</v>
      </c>
      <c r="DZ41" s="41" t="n">
        <f aca="false">IF(AND(Tasks[[#This Row],[_IsLeaf]]=1,Tasks[[#This Row],[_LeafTotalWork]]&gt;0),Tasks[[#This Row],[_LeafWork]]/(Tasks[[#This Row],[_FinishWorkday]]-Tasks[[#This Row],[_StartWorkday]]+1),0)</f>
        <v>0</v>
      </c>
      <c r="EA41" s="41" t="n">
        <f aca="false">Tasks[[#This Row],[_WorkPerWorkday]]*(Tasks[[#This Row],[_StartWorkday]]-1)</f>
        <v>-0</v>
      </c>
      <c r="EB41" s="41" t="n">
        <f aca="false">IF(Tasks[[#This Row],[_IsLeaf]]=1,MAX(N(Tasks[[#This Row],[Duration]]),0.1),0)</f>
        <v>0</v>
      </c>
      <c r="EC41" s="41" t="n">
        <f aca="false">Tasks[[#This Row],[_WeightDur]]*Tasks[[#This Row],[_LeafProgress]]</f>
        <v>0</v>
      </c>
      <c r="ED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1" s="41" t="str">
        <f aca="false">IF(AND(Tasks[[#This Row],[_IsLeaf]]=1,N(Tasks[[#This Row],[Duration]])=0,Tasks[[#This Row],[_LeafProgress]]&lt;1),Tasks[[#This Row],[_ShownFcstFinish]]+Tasks[[#This Row],[_Row]]/100000,"")</f>
        <v/>
      </c>
      <c r="EF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1" s="41" t="n">
        <f aca="false">IF(NOT(Tasks[[#This Row],[_IsLeaf]]=1),0,IF(Tasks[[#This Row],[Baseline Cost]]="",Tasks[[#This Row],[_LeafTotalCost]],N(Tasks[[#This Row],[Baseline Cost]])))</f>
        <v>0</v>
      </c>
      <c r="EH41" s="41" t="n">
        <f aca="false">Tasks[[#This Row],[_LeafBudget]]*Tasks[[#This Row],[_PlannedPct]]</f>
        <v>0</v>
      </c>
      <c r="EI41" s="41" t="n">
        <f aca="false">Tasks[[#This Row],[_LeafBudget]]*Tasks[[#This Row],[_LeafProgress]]</f>
        <v>0</v>
      </c>
      <c r="EJ41" s="41" t="n">
        <f aca="false">IF(NOT(Tasks[[#This Row],[_IsLeaf]]=1),0,IF(Tasks[[#This Row],[Actual Cost]]="",Tasks[[#This Row],[_LeafTotalCost]]*Tasks[[#This Row],[_LeafProgress]],N(Tasks[[#This Row],[Actual Cost]])))</f>
        <v>0</v>
      </c>
      <c r="EK41" s="41" t="str">
        <f aca="false">IF(Tasks[[#This Row],[Task Name]]="","",LEFT(Tasks[[#This Row],[WBS]],FIND(".",Tasks[[#This Row],[WBS]]&amp;".")-1))</f>
        <v/>
      </c>
      <c r="EL41" s="41" t="str">
        <f aca="false">IF(AND(Tasks[[#This Row],[Task Name]]&lt;&gt;"",Tasks[[#This Row],[_Level]]=1),Tasks[[#This Row],[_Row]],"")</f>
        <v/>
      </c>
      <c r="EM41" s="41" t="str">
        <f aca="false">IF(AND(Tasks[[#This Row],[_IsLeaf]]=1,N(Tasks[[#This Row],[Duration]])=0),Tasks[[#This Row],[Planned Finish]]+Tasks[[#This Row],[_Row]]/100000,"")</f>
        <v/>
      </c>
      <c r="EN41" s="41" t="str">
        <f aca="false">IF(AND(Tasks[[#This Row],[_IsLeaf]]=1,Tasks[[#This Row],[_LeafProgress]]&lt;1,OR(N(Tasks[[#This Row],[Finish Var]])&gt;0,Tasks[[#This Row],[Status]]="Late Start")),MAX(0,Tasks[[#This Row],[Finish Var]])+1-Tasks[[#This Row],[_Row]]/1000000,"")</f>
        <v/>
      </c>
      <c r="EO41" s="41" t="str">
        <f aca="false">IF(AND(Tasks[[#This Row],[_IsLeaf]]=1,N(Tasks[[#This Row],[Actual Start]])=0,Tasks[[#This Row],[_ShownFcstStart]]&gt;=StatusDate,Tasks[[#This Row],[_ShownFcstStart]]&lt;=LookaheadEnd),Tasks[[#This Row],[_ShownFcstStart]]+Tasks[[#This Row],[_Row]]/100000,"")</f>
        <v/>
      </c>
      <c r="EP41" s="41" t="str">
        <f aca="false">IF(AND(Tasks[[#This Row],[_IsLeaf]]=1,Tasks[[#This Row],[_LeafProgress]]&lt;1,Tasks[[#This Row],[_ShownFcstFinish]]&gt;=StatusDate,Tasks[[#This Row],[_ShownFcstFinish]]&lt;=LookaheadEnd),Tasks[[#This Row],[_ShownFcstFinish]]+Tasks[[#This Row],[_Row]]/100000,"")</f>
        <v/>
      </c>
      <c r="EQ41" s="41" t="str">
        <f aca="false">IF(Tasks[[#This Row],[_LeafCritical]],Tasks[[#This Row],[_ShownFcstStart]]+Tasks[[#This Row],[_Row]]/100000,"")</f>
        <v/>
      </c>
      <c r="ER41" s="41" t="n">
        <f aca="false">Tasks[[#This Row],[_LeafWork]]*Tasks[[#This Row],[_LeafProgress]]</f>
        <v>0</v>
      </c>
      <c r="ES41" s="101" t="str">
        <f aca="false">IF(AND(Tasks[[#This Row],[_IsLeaf]]=1,Tasks[[#This Row],[_LeafProgress]]&gt;=1),IF(N(Tasks[[#This Row],[Actual Finish]])&gt;0,Tasks[[#This Row],[Actual Finish]],Tasks[[#This Row],[_ShownFcstFinish]]),"")</f>
        <v/>
      </c>
      <c r="ET41" s="41" t="n">
        <f aca="false">IF(Tasks[[#This Row],[_IsLeaf]]=1,N(Tasks[[#This Row],[Story Points]]),0)</f>
        <v>0</v>
      </c>
      <c r="EU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29"/>
      <c r="O42" s="29"/>
      <c r="P42" s="29"/>
      <c r="Q42" s="29"/>
      <c r="R42" s="29"/>
      <c r="S42" s="29"/>
      <c r="T42" s="30"/>
      <c r="U42" s="75"/>
      <c r="V42" s="75"/>
      <c r="W42" s="25" t="str">
        <f aca="false">IF(Tasks[[#This Row],[Task Name]]="","",IF(N(Tasks[[#This Row],[Baseline Start]])&gt;0,Tasks[[#This Row],[Baseline Start]],Tasks[[#This Row],[_CalcStart]]))</f>
        <v/>
      </c>
      <c r="X42" s="25" t="str">
        <f aca="false">IF(Tasks[[#This Row],[Task Name]]="","",IF(N(Tasks[[#This Row],[Baseline Finish]])&gt;0,Tasks[[#This Row],[Baseline Finish]],Tasks[[#This Row],[_CalcFinish]]))</f>
        <v/>
      </c>
      <c r="Y42" s="75"/>
      <c r="Z42" s="75"/>
      <c r="AA42" s="25" t="str">
        <f aca="false">IF(Tasks[[#This Row],[Task Name]]="","",IF(Tasks[[#This Row],[_IsSummary]],MIN(INDEX(Tasks[_ShownFcstStart],Tasks[[#This Row],[_Row]]+1):INDEX(Tasks[_ShownFcstStart],Tasks[[#This Row],[_Row]]+Tasks[[#This Row],[_Descendants]])),Tasks[[#This Row],[_ShownFcstStart]]))</f>
        <v/>
      </c>
      <c r="AB42" s="25" t="str">
        <f aca="false">IF(Tasks[[#This Row],[Task Name]]="","",IF(Tasks[[#This Row],[_IsSummary]],MAX(INDEX(Tasks[_ShownFcstFinish],Tasks[[#This Row],[_Row]]+1):INDEX(Tasks[_ShownFcstFinish],Tasks[[#This Row],[_Row]]+Tasks[[#This Row],[_Descendants]])),Tasks[[#This Row],[_ShownFcstFinish]]))</f>
        <v/>
      </c>
      <c r="AC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2" s="25" t="str">
        <f aca="false">IF(Tasks[[#This Row],[Task Name]]="","",IF(Tasks[[#This Row],[_IsSummary]],MIN(INDEX(Tasks[_LeafLateStart],Tasks[[#This Row],[_Row]]+1):INDEX(Tasks[_LeafLateStart],Tasks[[#This Row],[_Row]]+Tasks[[#This Row],[_Descendants]])),Tasks[[#This Row],[_LeafLateStart]]))</f>
        <v/>
      </c>
      <c r="AF42" s="25" t="str">
        <f aca="false">IF(Tasks[[#This Row],[Task Name]]="","",IF(Tasks[[#This Row],[_IsSummary]],MAX(INDEX(Tasks[_LeafLateFinish],Tasks[[#This Row],[_Row]]+1):INDEX(Tasks[_LeafLateFinish],Tasks[[#This Row],[_Row]]+Tasks[[#This Row],[_Descendants]])),Tasks[[#This Row],[_LeafLateFinish]]))</f>
        <v/>
      </c>
      <c r="AG42" s="28" t="str">
        <f aca="false">IF(Tasks[[#This Row],[Task Name]]="","",IF(Tasks[[#This Row],[_IsSummary]],MIN(INDEX(Tasks[_LeafTotalSlack],Tasks[[#This Row],[_Row]]+1):INDEX(Tasks[_LeafTotalSlack],Tasks[[#This Row],[_Row]]+Tasks[[#This Row],[_Descendants]])),Tasks[[#This Row],[_LeafTotalSlack]]))</f>
        <v/>
      </c>
      <c r="AH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2" s="28" t="str">
        <f aca="false">IF(Tasks[[#This Row],[Task Name]]="","",IF(IF(Tasks[[#This Row],[_IsSummary]],COUNTIF(INDEX(Tasks[_LeafCritical],Tasks[[#This Row],[_Row]]+1):INDEX(Tasks[_LeafCritical],Tasks[[#This Row],[_Row]]+Tasks[[#This Row],[_Descendants]]),TRUE())&gt;0,Tasks[[#This Row],[_LeafCritical]]),"Yes",""))</f>
        <v/>
      </c>
      <c r="AJ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2" s="89"/>
      <c r="AM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2" s="28" t="str">
        <f aca="false">IF(Tasks[[#This Row],[Task Name]]="","",IF(Tasks[[#This Row],[Progress]]&gt;=1,"Complete",IF(OR(N(Tasks[[#This Row],[Actual Start]])&gt;0,Tasks[[#This Row],[Progress]]&gt;0),IF(Tasks[[#This Row],[Finish Var]]&gt;0,"Behind","In Progress"),IF(Tasks[[#This Row],[Planned Start]]&lt;StatusDate,"Late Start","Not Started"))))</f>
        <v/>
      </c>
      <c r="AO42" s="30"/>
      <c r="AP42" s="89"/>
      <c r="AQ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2" s="96" t="str">
        <f aca="false">IF(Tasks[[#This Row],[Task Name]]="","",IF(Tasks[[#This Row],[_IsSummary]],SUM(INDEX(Tasks[_LeafTotalWork],Tasks[[#This Row],[_Row]]+1):INDEX(Tasks[_LeafTotalWork],Tasks[[#This Row],[_Row]]+Tasks[[#This Row],[_Descendants]])),Tasks[[#This Row],[_LeafTotalWork]]))</f>
        <v/>
      </c>
      <c r="AT42" s="97" t="str">
        <f aca="false">IF(Tasks[[#This Row],[Task Name]]="","",IF(Tasks[[#This Row],[_IsSummary]],SUM(INDEX(Tasks[_LeafTotalCost],Tasks[[#This Row],[_Row]]+1):INDEX(Tasks[_LeafTotalCost],Tasks[[#This Row],[_Row]]+Tasks[[#This Row],[_Descendants]])),Tasks[[#This Row],[_LeafTotalCost]]))</f>
        <v/>
      </c>
      <c r="AU42" s="98"/>
      <c r="AV42" s="29"/>
      <c r="AW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2" s="83"/>
      <c r="AY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2" s="30"/>
      <c r="BA42" s="25" t="str">
        <f aca="false">IF(Tasks[[#This Row],[Task Name]]="","",Tasks[[#This Row],[Forecast Start]])</f>
        <v/>
      </c>
      <c r="BB42" s="25" t="str">
        <f aca="false">IF(Tasks[[#This Row],[Task Name]]="","",Tasks[[#This Row],[Forecast Finish]])</f>
        <v/>
      </c>
      <c r="BC42" s="28" t="str">
        <f aca="false">IF(Tasks[[#This Row],[Task Name]]="","",IF(Tasks[[#This Row],[_IsSummary]],NETWORKDAYS.INTL(Tasks[[#This Row],[Forecast Start]],Tasks[[#This Row],[Forecast Finish]],WorkWeek,Holidays),N(Tasks[[#This Row],[Duration]])))</f>
        <v/>
      </c>
      <c r="BD42" s="96" t="str">
        <f aca="false">IF(Tasks[[#This Row],[Task Name]]="","",Tasks[[#This Row],[Work]])</f>
        <v/>
      </c>
      <c r="BE42" s="97" t="str">
        <f aca="false">IF(Tasks[[#This Row],[Task Name]]="","",Tasks[[#This Row],[Cost]])</f>
        <v/>
      </c>
      <c r="BF42" s="75"/>
      <c r="BG42" s="75"/>
      <c r="BH42" s="29"/>
      <c r="BI42" s="99"/>
      <c r="BJ42" s="98"/>
      <c r="BK42" s="28" t="str">
        <f aca="false">IF(OR(Tasks[[#This Row],[Task Name]]="",Tasks[[#This Row],[Baseline Duration]]=""),"",Tasks[[#This Row],[BL Source Duration]]-N(Tasks[[#This Row],[Baseline Duration]]))</f>
        <v/>
      </c>
      <c r="BL42" s="96" t="str">
        <f aca="false">IF(OR(Tasks[[#This Row],[Task Name]]="",Tasks[[#This Row],[Baseline Work]]=""),"",Tasks[[#This Row],[Work]]-N(Tasks[[#This Row],[Baseline Work]]))</f>
        <v/>
      </c>
      <c r="BM42" s="97" t="str">
        <f aca="false">IF(OR(Tasks[[#This Row],[Task Name]]="",Tasks[[#This Row],[Baseline Cost]]=""),"",Tasks[[#This Row],[Cost]]-N(Tasks[[#This Row],[Baseline Cost]]))</f>
        <v/>
      </c>
      <c r="BN42" s="97" t="str">
        <f aca="false">IF(Tasks[[#This Row],[Task Name]]="","",IF(Tasks[[#This Row],[_IsSummary]],SUM(INDEX(Tasks[_LeafBudget],Tasks[[#This Row],[_Row]]+1):INDEX(Tasks[_LeafBudget],Tasks[[#This Row],[_Row]]+Tasks[[#This Row],[_Descendants]])),Tasks[[#This Row],[_LeafBudget]]))</f>
        <v/>
      </c>
      <c r="BO42" s="97" t="str">
        <f aca="false">IF(Tasks[[#This Row],[Task Name]]="","",IF(Tasks[[#This Row],[_IsSummary]],SUM(INDEX(Tasks[_LeafPV],Tasks[[#This Row],[_Row]]+1):INDEX(Tasks[_LeafPV],Tasks[[#This Row],[_Row]]+Tasks[[#This Row],[_Descendants]])),Tasks[[#This Row],[_LeafPV]]))</f>
        <v/>
      </c>
      <c r="BP42" s="97" t="str">
        <f aca="false">IF(Tasks[[#This Row],[Task Name]]="","",IF(Tasks[[#This Row],[_IsSummary]],SUM(INDEX(Tasks[_LeafEV],Tasks[[#This Row],[_Row]]+1):INDEX(Tasks[_LeafEV],Tasks[[#This Row],[_Row]]+Tasks[[#This Row],[_Descendants]])),Tasks[[#This Row],[_LeafEV]]))</f>
        <v/>
      </c>
      <c r="BQ42" s="97" t="str">
        <f aca="false">IF(Tasks[[#This Row],[Task Name]]="","",IF(Tasks[[#This Row],[_IsSummary]],SUM(INDEX(Tasks[_LeafAC],Tasks[[#This Row],[_Row]]+1):INDEX(Tasks[_LeafAC],Tasks[[#This Row],[_Row]]+Tasks[[#This Row],[_Descendants]])),Tasks[[#This Row],[_LeafAC]]))</f>
        <v/>
      </c>
      <c r="BR42" s="41" t="str">
        <f aca="false">IF(Tasks[[#This Row],[Task Name]]="","",MAX(1,N(Tasks[[#This Row],[Level]])))</f>
        <v/>
      </c>
      <c r="BS42" s="41" t="n">
        <f aca="false">ROW()-ROW(Tasks[[#Headers],[ID]])</f>
        <v>37</v>
      </c>
      <c r="BT42" s="41" t="n">
        <f aca="false">IF(OR(Tasks[[#This Row],[Task Name]]="",Tasks[[#This Row],[_Level]]&lt;=1),0,IFERROR(LOOKUP(2,1/(Tasks[[#Headers],[_Level]]:Tasks[[#This Row],[_Level]]=Tasks[[#This Row],[_Level]]-1),ROW(Tasks[[#Headers],[_Level]]:Tasks[[#This Row],[_Level]])),0))</f>
        <v>0</v>
      </c>
      <c r="BU42" s="41" t="n">
        <f aca="false">IFERROR(N(INDEX(Tasks[_Level],Tasks[[#This Row],[_Row]]+1)),0)</f>
        <v>0</v>
      </c>
      <c r="BV42" s="100" t="b">
        <f aca="false">AND(Tasks[[#This Row],[Task Name]]&lt;&gt;"",Tasks[[#This Row],[_NextLevel]]&gt;Tasks[[#This Row],[_Level]])</f>
        <v>0</v>
      </c>
      <c r="BW42" s="41" t="n">
        <f aca="false">IF(Tasks[[#This Row],[_IsSummary]],COUNTIF(Tasks[WBS],Tasks[[#This Row],[WBS]]&amp;".*"),0)</f>
        <v>0</v>
      </c>
      <c r="BX42" s="41" t="n">
        <f aca="false">IF(AND(Tasks[[#This Row],[Task Name]]&lt;&gt;"",NOT(Tasks[[#This Row],[_IsSummary]])),1,0)</f>
        <v>0</v>
      </c>
      <c r="BY42" s="41" t="n">
        <f aca="false">IF(N(Tasks[[#This Row],[Pred1 UID]])=0,0,IFERROR(MATCH(Tasks[[#This Row],[Pred1 UID]],Tasks[UID],0),-1))</f>
        <v>0</v>
      </c>
      <c r="BZ42" s="41" t="n">
        <f aca="false">IF(N(Tasks[[#This Row],[Pred2 UID]])=0,0,IFERROR(MATCH(Tasks[[#This Row],[Pred2 UID]],Tasks[UID],0),-1))</f>
        <v>0</v>
      </c>
      <c r="CA42" s="41" t="n">
        <f aca="false">IF(N(Tasks[[#This Row],[Pred3 UID]])=0,0,IFERROR(MATCH(Tasks[[#This Row],[Pred3 UID]],Tasks[UID],0),-1))</f>
        <v>0</v>
      </c>
      <c r="CB42" s="41" t="n">
        <f aca="false">IF(N(Tasks[[#This Row],[Pred4 UID]])=0,0,IFERROR(MATCH(Tasks[[#This Row],[Pred4 UID]],Tasks[UID],0),-1))</f>
        <v>0</v>
      </c>
      <c r="CC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2" s="101" t="n">
        <f aca="false">IF(OR(Tasks[[#This Row],[_ConstraintCode]]=2,Tasks[[#This Row],[_ConstraintCode]]=3,Tasks[[#This Row],[_ConstraintCode]]=4,Tasks[[#This Row],[_ConstraintCode]]=6),Tasks[[#This Row],[_ConstraintStart]],0)</f>
        <v>0</v>
      </c>
      <c r="CF42" s="101" t="n">
        <f aca="false">IF(OR(Tasks[[#This Row],[_ConstraintCode]]=2,Tasks[[#This Row],[_ConstraintCode]]=3,Tasks[[#This Row],[_ConstraintCode]]=5,Tasks[[#This Row],[_ConstraintCode]]=7),Tasks[[#This Row],[_ConstraintStart]],2958465)</f>
        <v>2958465</v>
      </c>
      <c r="CG4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2" s="101" t="str">
        <f aca="false">IF(NOT(Tasks[[#This Row],[_IsLeaf]]=1),"",IF(N(Tasks[[#This Row],[Duration]])&lt;=0,Tasks[[#This Row],[_LeafCalcStart]],WORKDAY.INTL(Tasks[[#This Row],[_LeafCalcStart]],Tasks[[#This Row],[Duration]]-1,WorkWeek,Holidays)))</f>
        <v/>
      </c>
      <c r="CI4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2" s="41" t="n">
        <f aca="false">IF(NOT(Tasks[[#This Row],[_IsLeaf]]=1),0,IF(N(Tasks[[#This Row],[Actual Finish]])&gt;0,1,MIN(1,N(Tasks[[#This Row],[% Complete]]))))</f>
        <v>0</v>
      </c>
      <c r="CL42" s="41" t="n">
        <f aca="false">IF(OR(NOT(Tasks[[#This Row],[_IsLeaf]]=1),Tasks[[#This Row],[Resource]]=""),0,N(Tasks[[#This Row],[Duration]])*HoursPerDay*IF(Tasks[[#This Row],[Units]]="",DefaultUnits,Tasks[[#This Row],[Units]]))</f>
        <v>0</v>
      </c>
      <c r="CM42" s="41" t="n">
        <f aca="false">IF(Tasks[[#This Row],[_LeafWork]]=0,0,Tasks[[#This Row],[_LeafWork]]*IFERROR(INDEX(res_Rate,MATCH(Tasks[[#This Row],[Resource]],res_Name,0)),0))</f>
        <v>0</v>
      </c>
      <c r="CN42" s="41" t="n">
        <f aca="false">Tasks[[#This Row],[_LeafWork]]+IF(Tasks[[#This Row],[_IsLeaf]]=1,SUMIFS(asg_Work,asg_TaskUID,Tasks[[#This Row],[UID]],asg_Valid,1),0)</f>
        <v>0</v>
      </c>
      <c r="CO42" s="41" t="n">
        <f aca="false">Tasks[[#This Row],[_LeafCost]]+IF(Tasks[[#This Row],[_IsLeaf]]=1,SUMIFS(asg_Cost,asg_TaskUID,Tasks[[#This Row],[UID]],asg_Valid,1),0)</f>
        <v>0</v>
      </c>
      <c r="CP42" s="41" t="n">
        <f aca="false">IF(Tasks[[#This Row],[_LeafTotalCost]]=0,Tasks[[#This Row],[_LeafAC]],Tasks[[#This Row],[_LeafAC]]*Tasks[[#This Row],[_LeafCost]]/Tasks[[#This Row],[_LeafTotalCost]])</f>
        <v>0</v>
      </c>
      <c r="CQ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2" s="41" t="n">
        <f aca="false">IF(NOT(Tasks[[#This Row],[_IsLeaf]]=1),0,MAX(_xlfn.MAXIFS(Tasks[_Row],Tasks[Pred1 UID],Tasks[[#This Row],[UID]]),_xlfn.MAXIFS(Tasks[_Row],Tasks[Pred2 UID],Tasks[[#This Row],[UID]]),_xlfn.MAXIFS(Tasks[_Row],Tasks[Pred3 UID],Tasks[[#This Row],[UID]]),_xlfn.MAXIFS(Tasks[_Row],Tasks[Pred4 UID],Tasks[[#This Row],[UID]])))</f>
        <v>0</v>
      </c>
      <c r="CZ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2" s="101" t="str">
        <f aca="false">IF(NOT(Tasks[[#This Row],[_IsLeaf]]=1),"",IF(N(Tasks[[#This Row],[Duration]])&lt;=0,Tasks[[#This Row],[_LeafLateFinish]],WORKDAY.INTL(Tasks[[#This Row],[_LeafLateFinish]],-(Tasks[[#This Row],[Duration]]-1),WorkWeek,Holidays)))</f>
        <v/>
      </c>
      <c r="DC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2" s="100" t="b">
        <f aca="false">AND(Tasks[[#This Row],[_IsLeaf]]=1,Tasks[[#This Row],[_LeafProgress]]&lt;1,N(Tasks[[#This Row],[_LeafTotalSlack]])&lt;=CriticalSlackDays)</f>
        <v>0</v>
      </c>
      <c r="DE42" s="41" t="n">
        <f aca="false">IF(AND(Tasks[[#This Row],[_IsLeaf]]=1,Tasks[[#This Row],[_ConstraintCode]]=1,Tasks[[#This Row],[Mode]]&lt;&gt;"Manual",N(Tasks[[#This Row],[Actual Start]])=0),MAX(0,N(Tasks[[#This Row],[Free Slack]])),0)</f>
        <v>0</v>
      </c>
      <c r="DF42" s="101" t="str">
        <f aca="false">IF(NOT(Tasks[[#This Row],[_IsLeaf]]=1),"",IF(Tasks[[#This Row],[_AlapShift]]=0,Tasks[[#This Row],[_LeafCalcStart]],WORKDAY.INTL(Tasks[[#This Row],[_LeafCalcStart]],Tasks[[#This Row],[_AlapShift]],WorkWeek,Holidays)))</f>
        <v/>
      </c>
      <c r="DG42" s="101" t="str">
        <f aca="false">IF(NOT(Tasks[[#This Row],[_IsLeaf]]=1),"",IF(Tasks[[#This Row],[_AlapShift]]=0,Tasks[[#This Row],[_LeafCalcFinish]],WORKDAY.INTL(Tasks[[#This Row],[_LeafCalcFinish]],Tasks[[#This Row],[_AlapShift]],WorkWeek,Holidays)))</f>
        <v/>
      </c>
      <c r="DH42" s="101" t="str">
        <f aca="false">IF(NOT(Tasks[[#This Row],[_IsLeaf]]=1),"",IF(Tasks[[#This Row],[_AlapShift]]=0,Tasks[[#This Row],[_LeafFcstStart]],WORKDAY.INTL(Tasks[[#This Row],[_LeafFcstStart]],Tasks[[#This Row],[_AlapShift]],WorkWeek,Holidays)))</f>
        <v/>
      </c>
      <c r="DI42" s="101" t="str">
        <f aca="false">IF(NOT(Tasks[[#This Row],[_IsLeaf]]=1),"",IF(Tasks[[#This Row],[_AlapShift]]=0,Tasks[[#This Row],[_LeafFcstFinish]],WORKDAY.INTL(Tasks[[#This Row],[_LeafFcstFinish]],Tasks[[#This Row],[_AlapShift]],WorkWeek,Holidays)))</f>
        <v/>
      </c>
      <c r="DJ42" s="101" t="str">
        <f aca="false">IF(Tasks[[#This Row],[Task Name]]="","",IF(Tasks[[#This Row],[_IsSummary]],MIN(INDEX(Tasks[_ShownCalcStart],Tasks[[#This Row],[_Row]]+1):INDEX(Tasks[_ShownCalcStart],Tasks[[#This Row],[_Row]]+Tasks[[#This Row],[_Descendants]])),Tasks[[#This Row],[_ShownCalcStart]]))</f>
        <v/>
      </c>
      <c r="DK42" s="101" t="str">
        <f aca="false">IF(Tasks[[#This Row],[Task Name]]="","",IF(Tasks[[#This Row],[_IsSummary]],MAX(INDEX(Tasks[_ShownCalcFinish],Tasks[[#This Row],[_Row]]+1):INDEX(Tasks[_ShownCalcFinish],Tasks[[#This Row],[_Row]]+Tasks[[#This Row],[_Descendants]])),Tasks[[#This Row],[_ShownCalcFinish]]))</f>
        <v/>
      </c>
      <c r="D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2" s="41" t="n">
        <f aca="false">IF(AND(Tasks[[#This Row],[_IsLeaf]]=1,Tasks[[#This Row],[_LeafTotalWork]]&gt;0),NETWORKDAYS.INTL(ProjectStart,Tasks[[#This Row],[_ShownFcstStart]],WorkWeek,Holidays),0)</f>
        <v>0</v>
      </c>
      <c r="DY42" s="41" t="n">
        <f aca="false">IF(AND(Tasks[[#This Row],[_IsLeaf]]=1,Tasks[[#This Row],[_LeafTotalWork]]&gt;0),MAX(Tasks[[#This Row],[_StartWorkday]],NETWORKDAYS.INTL(ProjectStart,Tasks[[#This Row],[_ShownFcstFinish]],WorkWeek,Holidays)),0)</f>
        <v>0</v>
      </c>
      <c r="DZ42" s="41" t="n">
        <f aca="false">IF(AND(Tasks[[#This Row],[_IsLeaf]]=1,Tasks[[#This Row],[_LeafTotalWork]]&gt;0),Tasks[[#This Row],[_LeafWork]]/(Tasks[[#This Row],[_FinishWorkday]]-Tasks[[#This Row],[_StartWorkday]]+1),0)</f>
        <v>0</v>
      </c>
      <c r="EA42" s="41" t="n">
        <f aca="false">Tasks[[#This Row],[_WorkPerWorkday]]*(Tasks[[#This Row],[_StartWorkday]]-1)</f>
        <v>-0</v>
      </c>
      <c r="EB42" s="41" t="n">
        <f aca="false">IF(Tasks[[#This Row],[_IsLeaf]]=1,MAX(N(Tasks[[#This Row],[Duration]]),0.1),0)</f>
        <v>0</v>
      </c>
      <c r="EC42" s="41" t="n">
        <f aca="false">Tasks[[#This Row],[_WeightDur]]*Tasks[[#This Row],[_LeafProgress]]</f>
        <v>0</v>
      </c>
      <c r="ED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2" s="41" t="str">
        <f aca="false">IF(AND(Tasks[[#This Row],[_IsLeaf]]=1,N(Tasks[[#This Row],[Duration]])=0,Tasks[[#This Row],[_LeafProgress]]&lt;1),Tasks[[#This Row],[_ShownFcstFinish]]+Tasks[[#This Row],[_Row]]/100000,"")</f>
        <v/>
      </c>
      <c r="EF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2" s="41" t="n">
        <f aca="false">IF(NOT(Tasks[[#This Row],[_IsLeaf]]=1),0,IF(Tasks[[#This Row],[Baseline Cost]]="",Tasks[[#This Row],[_LeafTotalCost]],N(Tasks[[#This Row],[Baseline Cost]])))</f>
        <v>0</v>
      </c>
      <c r="EH42" s="41" t="n">
        <f aca="false">Tasks[[#This Row],[_LeafBudget]]*Tasks[[#This Row],[_PlannedPct]]</f>
        <v>0</v>
      </c>
      <c r="EI42" s="41" t="n">
        <f aca="false">Tasks[[#This Row],[_LeafBudget]]*Tasks[[#This Row],[_LeafProgress]]</f>
        <v>0</v>
      </c>
      <c r="EJ42" s="41" t="n">
        <f aca="false">IF(NOT(Tasks[[#This Row],[_IsLeaf]]=1),0,IF(Tasks[[#This Row],[Actual Cost]]="",Tasks[[#This Row],[_LeafTotalCost]]*Tasks[[#This Row],[_LeafProgress]],N(Tasks[[#This Row],[Actual Cost]])))</f>
        <v>0</v>
      </c>
      <c r="EK42" s="41" t="str">
        <f aca="false">IF(Tasks[[#This Row],[Task Name]]="","",LEFT(Tasks[[#This Row],[WBS]],FIND(".",Tasks[[#This Row],[WBS]]&amp;".")-1))</f>
        <v/>
      </c>
      <c r="EL42" s="41" t="str">
        <f aca="false">IF(AND(Tasks[[#This Row],[Task Name]]&lt;&gt;"",Tasks[[#This Row],[_Level]]=1),Tasks[[#This Row],[_Row]],"")</f>
        <v/>
      </c>
      <c r="EM42" s="41" t="str">
        <f aca="false">IF(AND(Tasks[[#This Row],[_IsLeaf]]=1,N(Tasks[[#This Row],[Duration]])=0),Tasks[[#This Row],[Planned Finish]]+Tasks[[#This Row],[_Row]]/100000,"")</f>
        <v/>
      </c>
      <c r="EN42" s="41" t="str">
        <f aca="false">IF(AND(Tasks[[#This Row],[_IsLeaf]]=1,Tasks[[#This Row],[_LeafProgress]]&lt;1,OR(N(Tasks[[#This Row],[Finish Var]])&gt;0,Tasks[[#This Row],[Status]]="Late Start")),MAX(0,Tasks[[#This Row],[Finish Var]])+1-Tasks[[#This Row],[_Row]]/1000000,"")</f>
        <v/>
      </c>
      <c r="EO42" s="41" t="str">
        <f aca="false">IF(AND(Tasks[[#This Row],[_IsLeaf]]=1,N(Tasks[[#This Row],[Actual Start]])=0,Tasks[[#This Row],[_ShownFcstStart]]&gt;=StatusDate,Tasks[[#This Row],[_ShownFcstStart]]&lt;=LookaheadEnd),Tasks[[#This Row],[_ShownFcstStart]]+Tasks[[#This Row],[_Row]]/100000,"")</f>
        <v/>
      </c>
      <c r="EP42" s="41" t="str">
        <f aca="false">IF(AND(Tasks[[#This Row],[_IsLeaf]]=1,Tasks[[#This Row],[_LeafProgress]]&lt;1,Tasks[[#This Row],[_ShownFcstFinish]]&gt;=StatusDate,Tasks[[#This Row],[_ShownFcstFinish]]&lt;=LookaheadEnd),Tasks[[#This Row],[_ShownFcstFinish]]+Tasks[[#This Row],[_Row]]/100000,"")</f>
        <v/>
      </c>
      <c r="EQ42" s="41" t="str">
        <f aca="false">IF(Tasks[[#This Row],[_LeafCritical]],Tasks[[#This Row],[_ShownFcstStart]]+Tasks[[#This Row],[_Row]]/100000,"")</f>
        <v/>
      </c>
      <c r="ER42" s="41" t="n">
        <f aca="false">Tasks[[#This Row],[_LeafWork]]*Tasks[[#This Row],[_LeafProgress]]</f>
        <v>0</v>
      </c>
      <c r="ES42" s="101" t="str">
        <f aca="false">IF(AND(Tasks[[#This Row],[_IsLeaf]]=1,Tasks[[#This Row],[_LeafProgress]]&gt;=1),IF(N(Tasks[[#This Row],[Actual Finish]])&gt;0,Tasks[[#This Row],[Actual Finish]],Tasks[[#This Row],[_ShownFcstFinish]]),"")</f>
        <v/>
      </c>
      <c r="ET42" s="41" t="n">
        <f aca="false">IF(Tasks[[#This Row],[_IsLeaf]]=1,N(Tasks[[#This Row],[Story Points]]),0)</f>
        <v>0</v>
      </c>
      <c r="EU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29"/>
      <c r="O43" s="29"/>
      <c r="P43" s="29"/>
      <c r="Q43" s="29"/>
      <c r="R43" s="29"/>
      <c r="S43" s="29"/>
      <c r="T43" s="30"/>
      <c r="U43" s="75"/>
      <c r="V43" s="75"/>
      <c r="W43" s="25" t="str">
        <f aca="false">IF(Tasks[[#This Row],[Task Name]]="","",IF(N(Tasks[[#This Row],[Baseline Start]])&gt;0,Tasks[[#This Row],[Baseline Start]],Tasks[[#This Row],[_CalcStart]]))</f>
        <v/>
      </c>
      <c r="X43" s="25" t="str">
        <f aca="false">IF(Tasks[[#This Row],[Task Name]]="","",IF(N(Tasks[[#This Row],[Baseline Finish]])&gt;0,Tasks[[#This Row],[Baseline Finish]],Tasks[[#This Row],[_CalcFinish]]))</f>
        <v/>
      </c>
      <c r="Y43" s="75"/>
      <c r="Z43" s="75"/>
      <c r="AA43" s="25" t="str">
        <f aca="false">IF(Tasks[[#This Row],[Task Name]]="","",IF(Tasks[[#This Row],[_IsSummary]],MIN(INDEX(Tasks[_ShownFcstStart],Tasks[[#This Row],[_Row]]+1):INDEX(Tasks[_ShownFcstStart],Tasks[[#This Row],[_Row]]+Tasks[[#This Row],[_Descendants]])),Tasks[[#This Row],[_ShownFcstStart]]))</f>
        <v/>
      </c>
      <c r="AB43" s="25" t="str">
        <f aca="false">IF(Tasks[[#This Row],[Task Name]]="","",IF(Tasks[[#This Row],[_IsSummary]],MAX(INDEX(Tasks[_ShownFcstFinish],Tasks[[#This Row],[_Row]]+1):INDEX(Tasks[_ShownFcstFinish],Tasks[[#This Row],[_Row]]+Tasks[[#This Row],[_Descendants]])),Tasks[[#This Row],[_ShownFcstFinish]]))</f>
        <v/>
      </c>
      <c r="AC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3" s="25" t="str">
        <f aca="false">IF(Tasks[[#This Row],[Task Name]]="","",IF(Tasks[[#This Row],[_IsSummary]],MIN(INDEX(Tasks[_LeafLateStart],Tasks[[#This Row],[_Row]]+1):INDEX(Tasks[_LeafLateStart],Tasks[[#This Row],[_Row]]+Tasks[[#This Row],[_Descendants]])),Tasks[[#This Row],[_LeafLateStart]]))</f>
        <v/>
      </c>
      <c r="AF43" s="25" t="str">
        <f aca="false">IF(Tasks[[#This Row],[Task Name]]="","",IF(Tasks[[#This Row],[_IsSummary]],MAX(INDEX(Tasks[_LeafLateFinish],Tasks[[#This Row],[_Row]]+1):INDEX(Tasks[_LeafLateFinish],Tasks[[#This Row],[_Row]]+Tasks[[#This Row],[_Descendants]])),Tasks[[#This Row],[_LeafLateFinish]]))</f>
        <v/>
      </c>
      <c r="AG43" s="28" t="str">
        <f aca="false">IF(Tasks[[#This Row],[Task Name]]="","",IF(Tasks[[#This Row],[_IsSummary]],MIN(INDEX(Tasks[_LeafTotalSlack],Tasks[[#This Row],[_Row]]+1):INDEX(Tasks[_LeafTotalSlack],Tasks[[#This Row],[_Row]]+Tasks[[#This Row],[_Descendants]])),Tasks[[#This Row],[_LeafTotalSlack]]))</f>
        <v/>
      </c>
      <c r="AH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3" s="28" t="str">
        <f aca="false">IF(Tasks[[#This Row],[Task Name]]="","",IF(IF(Tasks[[#This Row],[_IsSummary]],COUNTIF(INDEX(Tasks[_LeafCritical],Tasks[[#This Row],[_Row]]+1):INDEX(Tasks[_LeafCritical],Tasks[[#This Row],[_Row]]+Tasks[[#This Row],[_Descendants]]),TRUE())&gt;0,Tasks[[#This Row],[_LeafCritical]]),"Yes",""))</f>
        <v/>
      </c>
      <c r="AJ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3" s="89"/>
      <c r="AM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3" s="28" t="str">
        <f aca="false">IF(Tasks[[#This Row],[Task Name]]="","",IF(Tasks[[#This Row],[Progress]]&gt;=1,"Complete",IF(OR(N(Tasks[[#This Row],[Actual Start]])&gt;0,Tasks[[#This Row],[Progress]]&gt;0),IF(Tasks[[#This Row],[Finish Var]]&gt;0,"Behind","In Progress"),IF(Tasks[[#This Row],[Planned Start]]&lt;StatusDate,"Late Start","Not Started"))))</f>
        <v/>
      </c>
      <c r="AO43" s="30"/>
      <c r="AP43" s="89"/>
      <c r="AQ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3" s="96" t="str">
        <f aca="false">IF(Tasks[[#This Row],[Task Name]]="","",IF(Tasks[[#This Row],[_IsSummary]],SUM(INDEX(Tasks[_LeafTotalWork],Tasks[[#This Row],[_Row]]+1):INDEX(Tasks[_LeafTotalWork],Tasks[[#This Row],[_Row]]+Tasks[[#This Row],[_Descendants]])),Tasks[[#This Row],[_LeafTotalWork]]))</f>
        <v/>
      </c>
      <c r="AT43" s="97" t="str">
        <f aca="false">IF(Tasks[[#This Row],[Task Name]]="","",IF(Tasks[[#This Row],[_IsSummary]],SUM(INDEX(Tasks[_LeafTotalCost],Tasks[[#This Row],[_Row]]+1):INDEX(Tasks[_LeafTotalCost],Tasks[[#This Row],[_Row]]+Tasks[[#This Row],[_Descendants]])),Tasks[[#This Row],[_LeafTotalCost]]))</f>
        <v/>
      </c>
      <c r="AU43" s="98"/>
      <c r="AV43" s="29"/>
      <c r="AW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3" s="83"/>
      <c r="AY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3" s="30"/>
      <c r="BA43" s="25" t="str">
        <f aca="false">IF(Tasks[[#This Row],[Task Name]]="","",Tasks[[#This Row],[Forecast Start]])</f>
        <v/>
      </c>
      <c r="BB43" s="25" t="str">
        <f aca="false">IF(Tasks[[#This Row],[Task Name]]="","",Tasks[[#This Row],[Forecast Finish]])</f>
        <v/>
      </c>
      <c r="BC43" s="28" t="str">
        <f aca="false">IF(Tasks[[#This Row],[Task Name]]="","",IF(Tasks[[#This Row],[_IsSummary]],NETWORKDAYS.INTL(Tasks[[#This Row],[Forecast Start]],Tasks[[#This Row],[Forecast Finish]],WorkWeek,Holidays),N(Tasks[[#This Row],[Duration]])))</f>
        <v/>
      </c>
      <c r="BD43" s="96" t="str">
        <f aca="false">IF(Tasks[[#This Row],[Task Name]]="","",Tasks[[#This Row],[Work]])</f>
        <v/>
      </c>
      <c r="BE43" s="97" t="str">
        <f aca="false">IF(Tasks[[#This Row],[Task Name]]="","",Tasks[[#This Row],[Cost]])</f>
        <v/>
      </c>
      <c r="BF43" s="75"/>
      <c r="BG43" s="75"/>
      <c r="BH43" s="29"/>
      <c r="BI43" s="99"/>
      <c r="BJ43" s="98"/>
      <c r="BK43" s="28" t="str">
        <f aca="false">IF(OR(Tasks[[#This Row],[Task Name]]="",Tasks[[#This Row],[Baseline Duration]]=""),"",Tasks[[#This Row],[BL Source Duration]]-N(Tasks[[#This Row],[Baseline Duration]]))</f>
        <v/>
      </c>
      <c r="BL43" s="96" t="str">
        <f aca="false">IF(OR(Tasks[[#This Row],[Task Name]]="",Tasks[[#This Row],[Baseline Work]]=""),"",Tasks[[#This Row],[Work]]-N(Tasks[[#This Row],[Baseline Work]]))</f>
        <v/>
      </c>
      <c r="BM43" s="97" t="str">
        <f aca="false">IF(OR(Tasks[[#This Row],[Task Name]]="",Tasks[[#This Row],[Baseline Cost]]=""),"",Tasks[[#This Row],[Cost]]-N(Tasks[[#This Row],[Baseline Cost]]))</f>
        <v/>
      </c>
      <c r="BN43" s="97" t="str">
        <f aca="false">IF(Tasks[[#This Row],[Task Name]]="","",IF(Tasks[[#This Row],[_IsSummary]],SUM(INDEX(Tasks[_LeafBudget],Tasks[[#This Row],[_Row]]+1):INDEX(Tasks[_LeafBudget],Tasks[[#This Row],[_Row]]+Tasks[[#This Row],[_Descendants]])),Tasks[[#This Row],[_LeafBudget]]))</f>
        <v/>
      </c>
      <c r="BO43" s="97" t="str">
        <f aca="false">IF(Tasks[[#This Row],[Task Name]]="","",IF(Tasks[[#This Row],[_IsSummary]],SUM(INDEX(Tasks[_LeafPV],Tasks[[#This Row],[_Row]]+1):INDEX(Tasks[_LeafPV],Tasks[[#This Row],[_Row]]+Tasks[[#This Row],[_Descendants]])),Tasks[[#This Row],[_LeafPV]]))</f>
        <v/>
      </c>
      <c r="BP43" s="97" t="str">
        <f aca="false">IF(Tasks[[#This Row],[Task Name]]="","",IF(Tasks[[#This Row],[_IsSummary]],SUM(INDEX(Tasks[_LeafEV],Tasks[[#This Row],[_Row]]+1):INDEX(Tasks[_LeafEV],Tasks[[#This Row],[_Row]]+Tasks[[#This Row],[_Descendants]])),Tasks[[#This Row],[_LeafEV]]))</f>
        <v/>
      </c>
      <c r="BQ43" s="97" t="str">
        <f aca="false">IF(Tasks[[#This Row],[Task Name]]="","",IF(Tasks[[#This Row],[_IsSummary]],SUM(INDEX(Tasks[_LeafAC],Tasks[[#This Row],[_Row]]+1):INDEX(Tasks[_LeafAC],Tasks[[#This Row],[_Row]]+Tasks[[#This Row],[_Descendants]])),Tasks[[#This Row],[_LeafAC]]))</f>
        <v/>
      </c>
      <c r="BR43" s="41" t="str">
        <f aca="false">IF(Tasks[[#This Row],[Task Name]]="","",MAX(1,N(Tasks[[#This Row],[Level]])))</f>
        <v/>
      </c>
      <c r="BS43" s="41" t="n">
        <f aca="false">ROW()-ROW(Tasks[[#Headers],[ID]])</f>
        <v>38</v>
      </c>
      <c r="BT43" s="41" t="n">
        <f aca="false">IF(OR(Tasks[[#This Row],[Task Name]]="",Tasks[[#This Row],[_Level]]&lt;=1),0,IFERROR(LOOKUP(2,1/(Tasks[[#Headers],[_Level]]:Tasks[[#This Row],[_Level]]=Tasks[[#This Row],[_Level]]-1),ROW(Tasks[[#Headers],[_Level]]:Tasks[[#This Row],[_Level]])),0))</f>
        <v>0</v>
      </c>
      <c r="BU43" s="41" t="n">
        <f aca="false">IFERROR(N(INDEX(Tasks[_Level],Tasks[[#This Row],[_Row]]+1)),0)</f>
        <v>0</v>
      </c>
      <c r="BV43" s="100" t="b">
        <f aca="false">AND(Tasks[[#This Row],[Task Name]]&lt;&gt;"",Tasks[[#This Row],[_NextLevel]]&gt;Tasks[[#This Row],[_Level]])</f>
        <v>0</v>
      </c>
      <c r="BW43" s="41" t="n">
        <f aca="false">IF(Tasks[[#This Row],[_IsSummary]],COUNTIF(Tasks[WBS],Tasks[[#This Row],[WBS]]&amp;".*"),0)</f>
        <v>0</v>
      </c>
      <c r="BX43" s="41" t="n">
        <f aca="false">IF(AND(Tasks[[#This Row],[Task Name]]&lt;&gt;"",NOT(Tasks[[#This Row],[_IsSummary]])),1,0)</f>
        <v>0</v>
      </c>
      <c r="BY43" s="41" t="n">
        <f aca="false">IF(N(Tasks[[#This Row],[Pred1 UID]])=0,0,IFERROR(MATCH(Tasks[[#This Row],[Pred1 UID]],Tasks[UID],0),-1))</f>
        <v>0</v>
      </c>
      <c r="BZ43" s="41" t="n">
        <f aca="false">IF(N(Tasks[[#This Row],[Pred2 UID]])=0,0,IFERROR(MATCH(Tasks[[#This Row],[Pred2 UID]],Tasks[UID],0),-1))</f>
        <v>0</v>
      </c>
      <c r="CA43" s="41" t="n">
        <f aca="false">IF(N(Tasks[[#This Row],[Pred3 UID]])=0,0,IFERROR(MATCH(Tasks[[#This Row],[Pred3 UID]],Tasks[UID],0),-1))</f>
        <v>0</v>
      </c>
      <c r="CB43" s="41" t="n">
        <f aca="false">IF(N(Tasks[[#This Row],[Pred4 UID]])=0,0,IFERROR(MATCH(Tasks[[#This Row],[Pred4 UID]],Tasks[UID],0),-1))</f>
        <v>0</v>
      </c>
      <c r="CC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3" s="101" t="n">
        <f aca="false">IF(OR(Tasks[[#This Row],[_ConstraintCode]]=2,Tasks[[#This Row],[_ConstraintCode]]=3,Tasks[[#This Row],[_ConstraintCode]]=4,Tasks[[#This Row],[_ConstraintCode]]=6),Tasks[[#This Row],[_ConstraintStart]],0)</f>
        <v>0</v>
      </c>
      <c r="CF43" s="101" t="n">
        <f aca="false">IF(OR(Tasks[[#This Row],[_ConstraintCode]]=2,Tasks[[#This Row],[_ConstraintCode]]=3,Tasks[[#This Row],[_ConstraintCode]]=5,Tasks[[#This Row],[_ConstraintCode]]=7),Tasks[[#This Row],[_ConstraintStart]],2958465)</f>
        <v>2958465</v>
      </c>
      <c r="CG4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3" s="101" t="str">
        <f aca="false">IF(NOT(Tasks[[#This Row],[_IsLeaf]]=1),"",IF(N(Tasks[[#This Row],[Duration]])&lt;=0,Tasks[[#This Row],[_LeafCalcStart]],WORKDAY.INTL(Tasks[[#This Row],[_LeafCalcStart]],Tasks[[#This Row],[Duration]]-1,WorkWeek,Holidays)))</f>
        <v/>
      </c>
      <c r="CI4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3" s="41" t="n">
        <f aca="false">IF(NOT(Tasks[[#This Row],[_IsLeaf]]=1),0,IF(N(Tasks[[#This Row],[Actual Finish]])&gt;0,1,MIN(1,N(Tasks[[#This Row],[% Complete]]))))</f>
        <v>0</v>
      </c>
      <c r="CL43" s="41" t="n">
        <f aca="false">IF(OR(NOT(Tasks[[#This Row],[_IsLeaf]]=1),Tasks[[#This Row],[Resource]]=""),0,N(Tasks[[#This Row],[Duration]])*HoursPerDay*IF(Tasks[[#This Row],[Units]]="",DefaultUnits,Tasks[[#This Row],[Units]]))</f>
        <v>0</v>
      </c>
      <c r="CM43" s="41" t="n">
        <f aca="false">IF(Tasks[[#This Row],[_LeafWork]]=0,0,Tasks[[#This Row],[_LeafWork]]*IFERROR(INDEX(res_Rate,MATCH(Tasks[[#This Row],[Resource]],res_Name,0)),0))</f>
        <v>0</v>
      </c>
      <c r="CN43" s="41" t="n">
        <f aca="false">Tasks[[#This Row],[_LeafWork]]+IF(Tasks[[#This Row],[_IsLeaf]]=1,SUMIFS(asg_Work,asg_TaskUID,Tasks[[#This Row],[UID]],asg_Valid,1),0)</f>
        <v>0</v>
      </c>
      <c r="CO43" s="41" t="n">
        <f aca="false">Tasks[[#This Row],[_LeafCost]]+IF(Tasks[[#This Row],[_IsLeaf]]=1,SUMIFS(asg_Cost,asg_TaskUID,Tasks[[#This Row],[UID]],asg_Valid,1),0)</f>
        <v>0</v>
      </c>
      <c r="CP43" s="41" t="n">
        <f aca="false">IF(Tasks[[#This Row],[_LeafTotalCost]]=0,Tasks[[#This Row],[_LeafAC]],Tasks[[#This Row],[_LeafAC]]*Tasks[[#This Row],[_LeafCost]]/Tasks[[#This Row],[_LeafTotalCost]])</f>
        <v>0</v>
      </c>
      <c r="CQ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3" s="41" t="n">
        <f aca="false">IF(NOT(Tasks[[#This Row],[_IsLeaf]]=1),0,MAX(_xlfn.MAXIFS(Tasks[_Row],Tasks[Pred1 UID],Tasks[[#This Row],[UID]]),_xlfn.MAXIFS(Tasks[_Row],Tasks[Pred2 UID],Tasks[[#This Row],[UID]]),_xlfn.MAXIFS(Tasks[_Row],Tasks[Pred3 UID],Tasks[[#This Row],[UID]]),_xlfn.MAXIFS(Tasks[_Row],Tasks[Pred4 UID],Tasks[[#This Row],[UID]])))</f>
        <v>0</v>
      </c>
      <c r="CZ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3" s="101" t="str">
        <f aca="false">IF(NOT(Tasks[[#This Row],[_IsLeaf]]=1),"",IF(N(Tasks[[#This Row],[Duration]])&lt;=0,Tasks[[#This Row],[_LeafLateFinish]],WORKDAY.INTL(Tasks[[#This Row],[_LeafLateFinish]],-(Tasks[[#This Row],[Duration]]-1),WorkWeek,Holidays)))</f>
        <v/>
      </c>
      <c r="DC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3" s="100" t="b">
        <f aca="false">AND(Tasks[[#This Row],[_IsLeaf]]=1,Tasks[[#This Row],[_LeafProgress]]&lt;1,N(Tasks[[#This Row],[_LeafTotalSlack]])&lt;=CriticalSlackDays)</f>
        <v>0</v>
      </c>
      <c r="DE43" s="41" t="n">
        <f aca="false">IF(AND(Tasks[[#This Row],[_IsLeaf]]=1,Tasks[[#This Row],[_ConstraintCode]]=1,Tasks[[#This Row],[Mode]]&lt;&gt;"Manual",N(Tasks[[#This Row],[Actual Start]])=0),MAX(0,N(Tasks[[#This Row],[Free Slack]])),0)</f>
        <v>0</v>
      </c>
      <c r="DF43" s="101" t="str">
        <f aca="false">IF(NOT(Tasks[[#This Row],[_IsLeaf]]=1),"",IF(Tasks[[#This Row],[_AlapShift]]=0,Tasks[[#This Row],[_LeafCalcStart]],WORKDAY.INTL(Tasks[[#This Row],[_LeafCalcStart]],Tasks[[#This Row],[_AlapShift]],WorkWeek,Holidays)))</f>
        <v/>
      </c>
      <c r="DG43" s="101" t="str">
        <f aca="false">IF(NOT(Tasks[[#This Row],[_IsLeaf]]=1),"",IF(Tasks[[#This Row],[_AlapShift]]=0,Tasks[[#This Row],[_LeafCalcFinish]],WORKDAY.INTL(Tasks[[#This Row],[_LeafCalcFinish]],Tasks[[#This Row],[_AlapShift]],WorkWeek,Holidays)))</f>
        <v/>
      </c>
      <c r="DH43" s="101" t="str">
        <f aca="false">IF(NOT(Tasks[[#This Row],[_IsLeaf]]=1),"",IF(Tasks[[#This Row],[_AlapShift]]=0,Tasks[[#This Row],[_LeafFcstStart]],WORKDAY.INTL(Tasks[[#This Row],[_LeafFcstStart]],Tasks[[#This Row],[_AlapShift]],WorkWeek,Holidays)))</f>
        <v/>
      </c>
      <c r="DI43" s="101" t="str">
        <f aca="false">IF(NOT(Tasks[[#This Row],[_IsLeaf]]=1),"",IF(Tasks[[#This Row],[_AlapShift]]=0,Tasks[[#This Row],[_LeafFcstFinish]],WORKDAY.INTL(Tasks[[#This Row],[_LeafFcstFinish]],Tasks[[#This Row],[_AlapShift]],WorkWeek,Holidays)))</f>
        <v/>
      </c>
      <c r="DJ43" s="101" t="str">
        <f aca="false">IF(Tasks[[#This Row],[Task Name]]="","",IF(Tasks[[#This Row],[_IsSummary]],MIN(INDEX(Tasks[_ShownCalcStart],Tasks[[#This Row],[_Row]]+1):INDEX(Tasks[_ShownCalcStart],Tasks[[#This Row],[_Row]]+Tasks[[#This Row],[_Descendants]])),Tasks[[#This Row],[_ShownCalcStart]]))</f>
        <v/>
      </c>
      <c r="DK43" s="101" t="str">
        <f aca="false">IF(Tasks[[#This Row],[Task Name]]="","",IF(Tasks[[#This Row],[_IsSummary]],MAX(INDEX(Tasks[_ShownCalcFinish],Tasks[[#This Row],[_Row]]+1):INDEX(Tasks[_ShownCalcFinish],Tasks[[#This Row],[_Row]]+Tasks[[#This Row],[_Descendants]])),Tasks[[#This Row],[_ShownCalcFinish]]))</f>
        <v/>
      </c>
      <c r="D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3" s="41" t="n">
        <f aca="false">IF(AND(Tasks[[#This Row],[_IsLeaf]]=1,Tasks[[#This Row],[_LeafTotalWork]]&gt;0),NETWORKDAYS.INTL(ProjectStart,Tasks[[#This Row],[_ShownFcstStart]],WorkWeek,Holidays),0)</f>
        <v>0</v>
      </c>
      <c r="DY43" s="41" t="n">
        <f aca="false">IF(AND(Tasks[[#This Row],[_IsLeaf]]=1,Tasks[[#This Row],[_LeafTotalWork]]&gt;0),MAX(Tasks[[#This Row],[_StartWorkday]],NETWORKDAYS.INTL(ProjectStart,Tasks[[#This Row],[_ShownFcstFinish]],WorkWeek,Holidays)),0)</f>
        <v>0</v>
      </c>
      <c r="DZ43" s="41" t="n">
        <f aca="false">IF(AND(Tasks[[#This Row],[_IsLeaf]]=1,Tasks[[#This Row],[_LeafTotalWork]]&gt;0),Tasks[[#This Row],[_LeafWork]]/(Tasks[[#This Row],[_FinishWorkday]]-Tasks[[#This Row],[_StartWorkday]]+1),0)</f>
        <v>0</v>
      </c>
      <c r="EA43" s="41" t="n">
        <f aca="false">Tasks[[#This Row],[_WorkPerWorkday]]*(Tasks[[#This Row],[_StartWorkday]]-1)</f>
        <v>-0</v>
      </c>
      <c r="EB43" s="41" t="n">
        <f aca="false">IF(Tasks[[#This Row],[_IsLeaf]]=1,MAX(N(Tasks[[#This Row],[Duration]]),0.1),0)</f>
        <v>0</v>
      </c>
      <c r="EC43" s="41" t="n">
        <f aca="false">Tasks[[#This Row],[_WeightDur]]*Tasks[[#This Row],[_LeafProgress]]</f>
        <v>0</v>
      </c>
      <c r="ED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3" s="41" t="str">
        <f aca="false">IF(AND(Tasks[[#This Row],[_IsLeaf]]=1,N(Tasks[[#This Row],[Duration]])=0,Tasks[[#This Row],[_LeafProgress]]&lt;1),Tasks[[#This Row],[_ShownFcstFinish]]+Tasks[[#This Row],[_Row]]/100000,"")</f>
        <v/>
      </c>
      <c r="EF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3" s="41" t="n">
        <f aca="false">IF(NOT(Tasks[[#This Row],[_IsLeaf]]=1),0,IF(Tasks[[#This Row],[Baseline Cost]]="",Tasks[[#This Row],[_LeafTotalCost]],N(Tasks[[#This Row],[Baseline Cost]])))</f>
        <v>0</v>
      </c>
      <c r="EH43" s="41" t="n">
        <f aca="false">Tasks[[#This Row],[_LeafBudget]]*Tasks[[#This Row],[_PlannedPct]]</f>
        <v>0</v>
      </c>
      <c r="EI43" s="41" t="n">
        <f aca="false">Tasks[[#This Row],[_LeafBudget]]*Tasks[[#This Row],[_LeafProgress]]</f>
        <v>0</v>
      </c>
      <c r="EJ43" s="41" t="n">
        <f aca="false">IF(NOT(Tasks[[#This Row],[_IsLeaf]]=1),0,IF(Tasks[[#This Row],[Actual Cost]]="",Tasks[[#This Row],[_LeafTotalCost]]*Tasks[[#This Row],[_LeafProgress]],N(Tasks[[#This Row],[Actual Cost]])))</f>
        <v>0</v>
      </c>
      <c r="EK43" s="41" t="str">
        <f aca="false">IF(Tasks[[#This Row],[Task Name]]="","",LEFT(Tasks[[#This Row],[WBS]],FIND(".",Tasks[[#This Row],[WBS]]&amp;".")-1))</f>
        <v/>
      </c>
      <c r="EL43" s="41" t="str">
        <f aca="false">IF(AND(Tasks[[#This Row],[Task Name]]&lt;&gt;"",Tasks[[#This Row],[_Level]]=1),Tasks[[#This Row],[_Row]],"")</f>
        <v/>
      </c>
      <c r="EM43" s="41" t="str">
        <f aca="false">IF(AND(Tasks[[#This Row],[_IsLeaf]]=1,N(Tasks[[#This Row],[Duration]])=0),Tasks[[#This Row],[Planned Finish]]+Tasks[[#This Row],[_Row]]/100000,"")</f>
        <v/>
      </c>
      <c r="EN43" s="41" t="str">
        <f aca="false">IF(AND(Tasks[[#This Row],[_IsLeaf]]=1,Tasks[[#This Row],[_LeafProgress]]&lt;1,OR(N(Tasks[[#This Row],[Finish Var]])&gt;0,Tasks[[#This Row],[Status]]="Late Start")),MAX(0,Tasks[[#This Row],[Finish Var]])+1-Tasks[[#This Row],[_Row]]/1000000,"")</f>
        <v/>
      </c>
      <c r="EO43" s="41" t="str">
        <f aca="false">IF(AND(Tasks[[#This Row],[_IsLeaf]]=1,N(Tasks[[#This Row],[Actual Start]])=0,Tasks[[#This Row],[_ShownFcstStart]]&gt;=StatusDate,Tasks[[#This Row],[_ShownFcstStart]]&lt;=LookaheadEnd),Tasks[[#This Row],[_ShownFcstStart]]+Tasks[[#This Row],[_Row]]/100000,"")</f>
        <v/>
      </c>
      <c r="EP43" s="41" t="str">
        <f aca="false">IF(AND(Tasks[[#This Row],[_IsLeaf]]=1,Tasks[[#This Row],[_LeafProgress]]&lt;1,Tasks[[#This Row],[_ShownFcstFinish]]&gt;=StatusDate,Tasks[[#This Row],[_ShownFcstFinish]]&lt;=LookaheadEnd),Tasks[[#This Row],[_ShownFcstFinish]]+Tasks[[#This Row],[_Row]]/100000,"")</f>
        <v/>
      </c>
      <c r="EQ43" s="41" t="str">
        <f aca="false">IF(Tasks[[#This Row],[_LeafCritical]],Tasks[[#This Row],[_ShownFcstStart]]+Tasks[[#This Row],[_Row]]/100000,"")</f>
        <v/>
      </c>
      <c r="ER43" s="41" t="n">
        <f aca="false">Tasks[[#This Row],[_LeafWork]]*Tasks[[#This Row],[_LeafProgress]]</f>
        <v>0</v>
      </c>
      <c r="ES43" s="101" t="str">
        <f aca="false">IF(AND(Tasks[[#This Row],[_IsLeaf]]=1,Tasks[[#This Row],[_LeafProgress]]&gt;=1),IF(N(Tasks[[#This Row],[Actual Finish]])&gt;0,Tasks[[#This Row],[Actual Finish]],Tasks[[#This Row],[_ShownFcstFinish]]),"")</f>
        <v/>
      </c>
      <c r="ET43" s="41" t="n">
        <f aca="false">IF(Tasks[[#This Row],[_IsLeaf]]=1,N(Tasks[[#This Row],[Story Points]]),0)</f>
        <v>0</v>
      </c>
      <c r="EU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29"/>
      <c r="O44" s="29"/>
      <c r="P44" s="29"/>
      <c r="Q44" s="29"/>
      <c r="R44" s="29"/>
      <c r="S44" s="29"/>
      <c r="T44" s="30"/>
      <c r="U44" s="75"/>
      <c r="V44" s="75"/>
      <c r="W44" s="25" t="str">
        <f aca="false">IF(Tasks[[#This Row],[Task Name]]="","",IF(N(Tasks[[#This Row],[Baseline Start]])&gt;0,Tasks[[#This Row],[Baseline Start]],Tasks[[#This Row],[_CalcStart]]))</f>
        <v/>
      </c>
      <c r="X44" s="25" t="str">
        <f aca="false">IF(Tasks[[#This Row],[Task Name]]="","",IF(N(Tasks[[#This Row],[Baseline Finish]])&gt;0,Tasks[[#This Row],[Baseline Finish]],Tasks[[#This Row],[_CalcFinish]]))</f>
        <v/>
      </c>
      <c r="Y44" s="75"/>
      <c r="Z44" s="75"/>
      <c r="AA44" s="25" t="str">
        <f aca="false">IF(Tasks[[#This Row],[Task Name]]="","",IF(Tasks[[#This Row],[_IsSummary]],MIN(INDEX(Tasks[_ShownFcstStart],Tasks[[#This Row],[_Row]]+1):INDEX(Tasks[_ShownFcstStart],Tasks[[#This Row],[_Row]]+Tasks[[#This Row],[_Descendants]])),Tasks[[#This Row],[_ShownFcstStart]]))</f>
        <v/>
      </c>
      <c r="AB44" s="25" t="str">
        <f aca="false">IF(Tasks[[#This Row],[Task Name]]="","",IF(Tasks[[#This Row],[_IsSummary]],MAX(INDEX(Tasks[_ShownFcstFinish],Tasks[[#This Row],[_Row]]+1):INDEX(Tasks[_ShownFcstFinish],Tasks[[#This Row],[_Row]]+Tasks[[#This Row],[_Descendants]])),Tasks[[#This Row],[_ShownFcstFinish]]))</f>
        <v/>
      </c>
      <c r="AC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4" s="25" t="str">
        <f aca="false">IF(Tasks[[#This Row],[Task Name]]="","",IF(Tasks[[#This Row],[_IsSummary]],MIN(INDEX(Tasks[_LeafLateStart],Tasks[[#This Row],[_Row]]+1):INDEX(Tasks[_LeafLateStart],Tasks[[#This Row],[_Row]]+Tasks[[#This Row],[_Descendants]])),Tasks[[#This Row],[_LeafLateStart]]))</f>
        <v/>
      </c>
      <c r="AF44" s="25" t="str">
        <f aca="false">IF(Tasks[[#This Row],[Task Name]]="","",IF(Tasks[[#This Row],[_IsSummary]],MAX(INDEX(Tasks[_LeafLateFinish],Tasks[[#This Row],[_Row]]+1):INDEX(Tasks[_LeafLateFinish],Tasks[[#This Row],[_Row]]+Tasks[[#This Row],[_Descendants]])),Tasks[[#This Row],[_LeafLateFinish]]))</f>
        <v/>
      </c>
      <c r="AG44" s="28" t="str">
        <f aca="false">IF(Tasks[[#This Row],[Task Name]]="","",IF(Tasks[[#This Row],[_IsSummary]],MIN(INDEX(Tasks[_LeafTotalSlack],Tasks[[#This Row],[_Row]]+1):INDEX(Tasks[_LeafTotalSlack],Tasks[[#This Row],[_Row]]+Tasks[[#This Row],[_Descendants]])),Tasks[[#This Row],[_LeafTotalSlack]]))</f>
        <v/>
      </c>
      <c r="AH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4" s="28" t="str">
        <f aca="false">IF(Tasks[[#This Row],[Task Name]]="","",IF(IF(Tasks[[#This Row],[_IsSummary]],COUNTIF(INDEX(Tasks[_LeafCritical],Tasks[[#This Row],[_Row]]+1):INDEX(Tasks[_LeafCritical],Tasks[[#This Row],[_Row]]+Tasks[[#This Row],[_Descendants]]),TRUE())&gt;0,Tasks[[#This Row],[_LeafCritical]]),"Yes",""))</f>
        <v/>
      </c>
      <c r="AJ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4" s="89"/>
      <c r="AM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4" s="28" t="str">
        <f aca="false">IF(Tasks[[#This Row],[Task Name]]="","",IF(Tasks[[#This Row],[Progress]]&gt;=1,"Complete",IF(OR(N(Tasks[[#This Row],[Actual Start]])&gt;0,Tasks[[#This Row],[Progress]]&gt;0),IF(Tasks[[#This Row],[Finish Var]]&gt;0,"Behind","In Progress"),IF(Tasks[[#This Row],[Planned Start]]&lt;StatusDate,"Late Start","Not Started"))))</f>
        <v/>
      </c>
      <c r="AO44" s="30"/>
      <c r="AP44" s="89"/>
      <c r="AQ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4" s="96" t="str">
        <f aca="false">IF(Tasks[[#This Row],[Task Name]]="","",IF(Tasks[[#This Row],[_IsSummary]],SUM(INDEX(Tasks[_LeafTotalWork],Tasks[[#This Row],[_Row]]+1):INDEX(Tasks[_LeafTotalWork],Tasks[[#This Row],[_Row]]+Tasks[[#This Row],[_Descendants]])),Tasks[[#This Row],[_LeafTotalWork]]))</f>
        <v/>
      </c>
      <c r="AT44" s="97" t="str">
        <f aca="false">IF(Tasks[[#This Row],[Task Name]]="","",IF(Tasks[[#This Row],[_IsSummary]],SUM(INDEX(Tasks[_LeafTotalCost],Tasks[[#This Row],[_Row]]+1):INDEX(Tasks[_LeafTotalCost],Tasks[[#This Row],[_Row]]+Tasks[[#This Row],[_Descendants]])),Tasks[[#This Row],[_LeafTotalCost]]))</f>
        <v/>
      </c>
      <c r="AU44" s="98"/>
      <c r="AV44" s="29"/>
      <c r="AW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4" s="83"/>
      <c r="AY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4" s="30"/>
      <c r="BA44" s="25" t="str">
        <f aca="false">IF(Tasks[[#This Row],[Task Name]]="","",Tasks[[#This Row],[Forecast Start]])</f>
        <v/>
      </c>
      <c r="BB44" s="25" t="str">
        <f aca="false">IF(Tasks[[#This Row],[Task Name]]="","",Tasks[[#This Row],[Forecast Finish]])</f>
        <v/>
      </c>
      <c r="BC44" s="28" t="str">
        <f aca="false">IF(Tasks[[#This Row],[Task Name]]="","",IF(Tasks[[#This Row],[_IsSummary]],NETWORKDAYS.INTL(Tasks[[#This Row],[Forecast Start]],Tasks[[#This Row],[Forecast Finish]],WorkWeek,Holidays),N(Tasks[[#This Row],[Duration]])))</f>
        <v/>
      </c>
      <c r="BD44" s="96" t="str">
        <f aca="false">IF(Tasks[[#This Row],[Task Name]]="","",Tasks[[#This Row],[Work]])</f>
        <v/>
      </c>
      <c r="BE44" s="97" t="str">
        <f aca="false">IF(Tasks[[#This Row],[Task Name]]="","",Tasks[[#This Row],[Cost]])</f>
        <v/>
      </c>
      <c r="BF44" s="75"/>
      <c r="BG44" s="75"/>
      <c r="BH44" s="29"/>
      <c r="BI44" s="99"/>
      <c r="BJ44" s="98"/>
      <c r="BK44" s="28" t="str">
        <f aca="false">IF(OR(Tasks[[#This Row],[Task Name]]="",Tasks[[#This Row],[Baseline Duration]]=""),"",Tasks[[#This Row],[BL Source Duration]]-N(Tasks[[#This Row],[Baseline Duration]]))</f>
        <v/>
      </c>
      <c r="BL44" s="96" t="str">
        <f aca="false">IF(OR(Tasks[[#This Row],[Task Name]]="",Tasks[[#This Row],[Baseline Work]]=""),"",Tasks[[#This Row],[Work]]-N(Tasks[[#This Row],[Baseline Work]]))</f>
        <v/>
      </c>
      <c r="BM44" s="97" t="str">
        <f aca="false">IF(OR(Tasks[[#This Row],[Task Name]]="",Tasks[[#This Row],[Baseline Cost]]=""),"",Tasks[[#This Row],[Cost]]-N(Tasks[[#This Row],[Baseline Cost]]))</f>
        <v/>
      </c>
      <c r="BN44" s="97" t="str">
        <f aca="false">IF(Tasks[[#This Row],[Task Name]]="","",IF(Tasks[[#This Row],[_IsSummary]],SUM(INDEX(Tasks[_LeafBudget],Tasks[[#This Row],[_Row]]+1):INDEX(Tasks[_LeafBudget],Tasks[[#This Row],[_Row]]+Tasks[[#This Row],[_Descendants]])),Tasks[[#This Row],[_LeafBudget]]))</f>
        <v/>
      </c>
      <c r="BO44" s="97" t="str">
        <f aca="false">IF(Tasks[[#This Row],[Task Name]]="","",IF(Tasks[[#This Row],[_IsSummary]],SUM(INDEX(Tasks[_LeafPV],Tasks[[#This Row],[_Row]]+1):INDEX(Tasks[_LeafPV],Tasks[[#This Row],[_Row]]+Tasks[[#This Row],[_Descendants]])),Tasks[[#This Row],[_LeafPV]]))</f>
        <v/>
      </c>
      <c r="BP44" s="97" t="str">
        <f aca="false">IF(Tasks[[#This Row],[Task Name]]="","",IF(Tasks[[#This Row],[_IsSummary]],SUM(INDEX(Tasks[_LeafEV],Tasks[[#This Row],[_Row]]+1):INDEX(Tasks[_LeafEV],Tasks[[#This Row],[_Row]]+Tasks[[#This Row],[_Descendants]])),Tasks[[#This Row],[_LeafEV]]))</f>
        <v/>
      </c>
      <c r="BQ44" s="97" t="str">
        <f aca="false">IF(Tasks[[#This Row],[Task Name]]="","",IF(Tasks[[#This Row],[_IsSummary]],SUM(INDEX(Tasks[_LeafAC],Tasks[[#This Row],[_Row]]+1):INDEX(Tasks[_LeafAC],Tasks[[#This Row],[_Row]]+Tasks[[#This Row],[_Descendants]])),Tasks[[#This Row],[_LeafAC]]))</f>
        <v/>
      </c>
      <c r="BR44" s="41" t="str">
        <f aca="false">IF(Tasks[[#This Row],[Task Name]]="","",MAX(1,N(Tasks[[#This Row],[Level]])))</f>
        <v/>
      </c>
      <c r="BS44" s="41" t="n">
        <f aca="false">ROW()-ROW(Tasks[[#Headers],[ID]])</f>
        <v>39</v>
      </c>
      <c r="BT44" s="41" t="n">
        <f aca="false">IF(OR(Tasks[[#This Row],[Task Name]]="",Tasks[[#This Row],[_Level]]&lt;=1),0,IFERROR(LOOKUP(2,1/(Tasks[[#Headers],[_Level]]:Tasks[[#This Row],[_Level]]=Tasks[[#This Row],[_Level]]-1),ROW(Tasks[[#Headers],[_Level]]:Tasks[[#This Row],[_Level]])),0))</f>
        <v>0</v>
      </c>
      <c r="BU44" s="41" t="n">
        <f aca="false">IFERROR(N(INDEX(Tasks[_Level],Tasks[[#This Row],[_Row]]+1)),0)</f>
        <v>0</v>
      </c>
      <c r="BV44" s="100" t="b">
        <f aca="false">AND(Tasks[[#This Row],[Task Name]]&lt;&gt;"",Tasks[[#This Row],[_NextLevel]]&gt;Tasks[[#This Row],[_Level]])</f>
        <v>0</v>
      </c>
      <c r="BW44" s="41" t="n">
        <f aca="false">IF(Tasks[[#This Row],[_IsSummary]],COUNTIF(Tasks[WBS],Tasks[[#This Row],[WBS]]&amp;".*"),0)</f>
        <v>0</v>
      </c>
      <c r="BX44" s="41" t="n">
        <f aca="false">IF(AND(Tasks[[#This Row],[Task Name]]&lt;&gt;"",NOT(Tasks[[#This Row],[_IsSummary]])),1,0)</f>
        <v>0</v>
      </c>
      <c r="BY44" s="41" t="n">
        <f aca="false">IF(N(Tasks[[#This Row],[Pred1 UID]])=0,0,IFERROR(MATCH(Tasks[[#This Row],[Pred1 UID]],Tasks[UID],0),-1))</f>
        <v>0</v>
      </c>
      <c r="BZ44" s="41" t="n">
        <f aca="false">IF(N(Tasks[[#This Row],[Pred2 UID]])=0,0,IFERROR(MATCH(Tasks[[#This Row],[Pred2 UID]],Tasks[UID],0),-1))</f>
        <v>0</v>
      </c>
      <c r="CA44" s="41" t="n">
        <f aca="false">IF(N(Tasks[[#This Row],[Pred3 UID]])=0,0,IFERROR(MATCH(Tasks[[#This Row],[Pred3 UID]],Tasks[UID],0),-1))</f>
        <v>0</v>
      </c>
      <c r="CB44" s="41" t="n">
        <f aca="false">IF(N(Tasks[[#This Row],[Pred4 UID]])=0,0,IFERROR(MATCH(Tasks[[#This Row],[Pred4 UID]],Tasks[UID],0),-1))</f>
        <v>0</v>
      </c>
      <c r="CC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4" s="101" t="n">
        <f aca="false">IF(OR(Tasks[[#This Row],[_ConstraintCode]]=2,Tasks[[#This Row],[_ConstraintCode]]=3,Tasks[[#This Row],[_ConstraintCode]]=4,Tasks[[#This Row],[_ConstraintCode]]=6),Tasks[[#This Row],[_ConstraintStart]],0)</f>
        <v>0</v>
      </c>
      <c r="CF44" s="101" t="n">
        <f aca="false">IF(OR(Tasks[[#This Row],[_ConstraintCode]]=2,Tasks[[#This Row],[_ConstraintCode]]=3,Tasks[[#This Row],[_ConstraintCode]]=5,Tasks[[#This Row],[_ConstraintCode]]=7),Tasks[[#This Row],[_ConstraintStart]],2958465)</f>
        <v>2958465</v>
      </c>
      <c r="CG4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4" s="101" t="str">
        <f aca="false">IF(NOT(Tasks[[#This Row],[_IsLeaf]]=1),"",IF(N(Tasks[[#This Row],[Duration]])&lt;=0,Tasks[[#This Row],[_LeafCalcStart]],WORKDAY.INTL(Tasks[[#This Row],[_LeafCalcStart]],Tasks[[#This Row],[Duration]]-1,WorkWeek,Holidays)))</f>
        <v/>
      </c>
      <c r="CI4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4" s="41" t="n">
        <f aca="false">IF(NOT(Tasks[[#This Row],[_IsLeaf]]=1),0,IF(N(Tasks[[#This Row],[Actual Finish]])&gt;0,1,MIN(1,N(Tasks[[#This Row],[% Complete]]))))</f>
        <v>0</v>
      </c>
      <c r="CL44" s="41" t="n">
        <f aca="false">IF(OR(NOT(Tasks[[#This Row],[_IsLeaf]]=1),Tasks[[#This Row],[Resource]]=""),0,N(Tasks[[#This Row],[Duration]])*HoursPerDay*IF(Tasks[[#This Row],[Units]]="",DefaultUnits,Tasks[[#This Row],[Units]]))</f>
        <v>0</v>
      </c>
      <c r="CM44" s="41" t="n">
        <f aca="false">IF(Tasks[[#This Row],[_LeafWork]]=0,0,Tasks[[#This Row],[_LeafWork]]*IFERROR(INDEX(res_Rate,MATCH(Tasks[[#This Row],[Resource]],res_Name,0)),0))</f>
        <v>0</v>
      </c>
      <c r="CN44" s="41" t="n">
        <f aca="false">Tasks[[#This Row],[_LeafWork]]+IF(Tasks[[#This Row],[_IsLeaf]]=1,SUMIFS(asg_Work,asg_TaskUID,Tasks[[#This Row],[UID]],asg_Valid,1),0)</f>
        <v>0</v>
      </c>
      <c r="CO44" s="41" t="n">
        <f aca="false">Tasks[[#This Row],[_LeafCost]]+IF(Tasks[[#This Row],[_IsLeaf]]=1,SUMIFS(asg_Cost,asg_TaskUID,Tasks[[#This Row],[UID]],asg_Valid,1),0)</f>
        <v>0</v>
      </c>
      <c r="CP44" s="41" t="n">
        <f aca="false">IF(Tasks[[#This Row],[_LeafTotalCost]]=0,Tasks[[#This Row],[_LeafAC]],Tasks[[#This Row],[_LeafAC]]*Tasks[[#This Row],[_LeafCost]]/Tasks[[#This Row],[_LeafTotalCost]])</f>
        <v>0</v>
      </c>
      <c r="CQ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4" s="41" t="n">
        <f aca="false">IF(NOT(Tasks[[#This Row],[_IsLeaf]]=1),0,MAX(_xlfn.MAXIFS(Tasks[_Row],Tasks[Pred1 UID],Tasks[[#This Row],[UID]]),_xlfn.MAXIFS(Tasks[_Row],Tasks[Pred2 UID],Tasks[[#This Row],[UID]]),_xlfn.MAXIFS(Tasks[_Row],Tasks[Pred3 UID],Tasks[[#This Row],[UID]]),_xlfn.MAXIFS(Tasks[_Row],Tasks[Pred4 UID],Tasks[[#This Row],[UID]])))</f>
        <v>0</v>
      </c>
      <c r="CZ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4" s="101" t="str">
        <f aca="false">IF(NOT(Tasks[[#This Row],[_IsLeaf]]=1),"",IF(N(Tasks[[#This Row],[Duration]])&lt;=0,Tasks[[#This Row],[_LeafLateFinish]],WORKDAY.INTL(Tasks[[#This Row],[_LeafLateFinish]],-(Tasks[[#This Row],[Duration]]-1),WorkWeek,Holidays)))</f>
        <v/>
      </c>
      <c r="DC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4" s="100" t="b">
        <f aca="false">AND(Tasks[[#This Row],[_IsLeaf]]=1,Tasks[[#This Row],[_LeafProgress]]&lt;1,N(Tasks[[#This Row],[_LeafTotalSlack]])&lt;=CriticalSlackDays)</f>
        <v>0</v>
      </c>
      <c r="DE44" s="41" t="n">
        <f aca="false">IF(AND(Tasks[[#This Row],[_IsLeaf]]=1,Tasks[[#This Row],[_ConstraintCode]]=1,Tasks[[#This Row],[Mode]]&lt;&gt;"Manual",N(Tasks[[#This Row],[Actual Start]])=0),MAX(0,N(Tasks[[#This Row],[Free Slack]])),0)</f>
        <v>0</v>
      </c>
      <c r="DF44" s="101" t="str">
        <f aca="false">IF(NOT(Tasks[[#This Row],[_IsLeaf]]=1),"",IF(Tasks[[#This Row],[_AlapShift]]=0,Tasks[[#This Row],[_LeafCalcStart]],WORKDAY.INTL(Tasks[[#This Row],[_LeafCalcStart]],Tasks[[#This Row],[_AlapShift]],WorkWeek,Holidays)))</f>
        <v/>
      </c>
      <c r="DG44" s="101" t="str">
        <f aca="false">IF(NOT(Tasks[[#This Row],[_IsLeaf]]=1),"",IF(Tasks[[#This Row],[_AlapShift]]=0,Tasks[[#This Row],[_LeafCalcFinish]],WORKDAY.INTL(Tasks[[#This Row],[_LeafCalcFinish]],Tasks[[#This Row],[_AlapShift]],WorkWeek,Holidays)))</f>
        <v/>
      </c>
      <c r="DH44" s="101" t="str">
        <f aca="false">IF(NOT(Tasks[[#This Row],[_IsLeaf]]=1),"",IF(Tasks[[#This Row],[_AlapShift]]=0,Tasks[[#This Row],[_LeafFcstStart]],WORKDAY.INTL(Tasks[[#This Row],[_LeafFcstStart]],Tasks[[#This Row],[_AlapShift]],WorkWeek,Holidays)))</f>
        <v/>
      </c>
      <c r="DI44" s="101" t="str">
        <f aca="false">IF(NOT(Tasks[[#This Row],[_IsLeaf]]=1),"",IF(Tasks[[#This Row],[_AlapShift]]=0,Tasks[[#This Row],[_LeafFcstFinish]],WORKDAY.INTL(Tasks[[#This Row],[_LeafFcstFinish]],Tasks[[#This Row],[_AlapShift]],WorkWeek,Holidays)))</f>
        <v/>
      </c>
      <c r="DJ44" s="101" t="str">
        <f aca="false">IF(Tasks[[#This Row],[Task Name]]="","",IF(Tasks[[#This Row],[_IsSummary]],MIN(INDEX(Tasks[_ShownCalcStart],Tasks[[#This Row],[_Row]]+1):INDEX(Tasks[_ShownCalcStart],Tasks[[#This Row],[_Row]]+Tasks[[#This Row],[_Descendants]])),Tasks[[#This Row],[_ShownCalcStart]]))</f>
        <v/>
      </c>
      <c r="DK44" s="101" t="str">
        <f aca="false">IF(Tasks[[#This Row],[Task Name]]="","",IF(Tasks[[#This Row],[_IsSummary]],MAX(INDEX(Tasks[_ShownCalcFinish],Tasks[[#This Row],[_Row]]+1):INDEX(Tasks[_ShownCalcFinish],Tasks[[#This Row],[_Row]]+Tasks[[#This Row],[_Descendants]])),Tasks[[#This Row],[_ShownCalcFinish]]))</f>
        <v/>
      </c>
      <c r="D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4" s="41" t="n">
        <f aca="false">IF(AND(Tasks[[#This Row],[_IsLeaf]]=1,Tasks[[#This Row],[_LeafTotalWork]]&gt;0),NETWORKDAYS.INTL(ProjectStart,Tasks[[#This Row],[_ShownFcstStart]],WorkWeek,Holidays),0)</f>
        <v>0</v>
      </c>
      <c r="DY44" s="41" t="n">
        <f aca="false">IF(AND(Tasks[[#This Row],[_IsLeaf]]=1,Tasks[[#This Row],[_LeafTotalWork]]&gt;0),MAX(Tasks[[#This Row],[_StartWorkday]],NETWORKDAYS.INTL(ProjectStart,Tasks[[#This Row],[_ShownFcstFinish]],WorkWeek,Holidays)),0)</f>
        <v>0</v>
      </c>
      <c r="DZ44" s="41" t="n">
        <f aca="false">IF(AND(Tasks[[#This Row],[_IsLeaf]]=1,Tasks[[#This Row],[_LeafTotalWork]]&gt;0),Tasks[[#This Row],[_LeafWork]]/(Tasks[[#This Row],[_FinishWorkday]]-Tasks[[#This Row],[_StartWorkday]]+1),0)</f>
        <v>0</v>
      </c>
      <c r="EA44" s="41" t="n">
        <f aca="false">Tasks[[#This Row],[_WorkPerWorkday]]*(Tasks[[#This Row],[_StartWorkday]]-1)</f>
        <v>-0</v>
      </c>
      <c r="EB44" s="41" t="n">
        <f aca="false">IF(Tasks[[#This Row],[_IsLeaf]]=1,MAX(N(Tasks[[#This Row],[Duration]]),0.1),0)</f>
        <v>0</v>
      </c>
      <c r="EC44" s="41" t="n">
        <f aca="false">Tasks[[#This Row],[_WeightDur]]*Tasks[[#This Row],[_LeafProgress]]</f>
        <v>0</v>
      </c>
      <c r="ED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4" s="41" t="str">
        <f aca="false">IF(AND(Tasks[[#This Row],[_IsLeaf]]=1,N(Tasks[[#This Row],[Duration]])=0,Tasks[[#This Row],[_LeafProgress]]&lt;1),Tasks[[#This Row],[_ShownFcstFinish]]+Tasks[[#This Row],[_Row]]/100000,"")</f>
        <v/>
      </c>
      <c r="EF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4" s="41" t="n">
        <f aca="false">IF(NOT(Tasks[[#This Row],[_IsLeaf]]=1),0,IF(Tasks[[#This Row],[Baseline Cost]]="",Tasks[[#This Row],[_LeafTotalCost]],N(Tasks[[#This Row],[Baseline Cost]])))</f>
        <v>0</v>
      </c>
      <c r="EH44" s="41" t="n">
        <f aca="false">Tasks[[#This Row],[_LeafBudget]]*Tasks[[#This Row],[_PlannedPct]]</f>
        <v>0</v>
      </c>
      <c r="EI44" s="41" t="n">
        <f aca="false">Tasks[[#This Row],[_LeafBudget]]*Tasks[[#This Row],[_LeafProgress]]</f>
        <v>0</v>
      </c>
      <c r="EJ44" s="41" t="n">
        <f aca="false">IF(NOT(Tasks[[#This Row],[_IsLeaf]]=1),0,IF(Tasks[[#This Row],[Actual Cost]]="",Tasks[[#This Row],[_LeafTotalCost]]*Tasks[[#This Row],[_LeafProgress]],N(Tasks[[#This Row],[Actual Cost]])))</f>
        <v>0</v>
      </c>
      <c r="EK44" s="41" t="str">
        <f aca="false">IF(Tasks[[#This Row],[Task Name]]="","",LEFT(Tasks[[#This Row],[WBS]],FIND(".",Tasks[[#This Row],[WBS]]&amp;".")-1))</f>
        <v/>
      </c>
      <c r="EL44" s="41" t="str">
        <f aca="false">IF(AND(Tasks[[#This Row],[Task Name]]&lt;&gt;"",Tasks[[#This Row],[_Level]]=1),Tasks[[#This Row],[_Row]],"")</f>
        <v/>
      </c>
      <c r="EM44" s="41" t="str">
        <f aca="false">IF(AND(Tasks[[#This Row],[_IsLeaf]]=1,N(Tasks[[#This Row],[Duration]])=0),Tasks[[#This Row],[Planned Finish]]+Tasks[[#This Row],[_Row]]/100000,"")</f>
        <v/>
      </c>
      <c r="EN44" s="41" t="str">
        <f aca="false">IF(AND(Tasks[[#This Row],[_IsLeaf]]=1,Tasks[[#This Row],[_LeafProgress]]&lt;1,OR(N(Tasks[[#This Row],[Finish Var]])&gt;0,Tasks[[#This Row],[Status]]="Late Start")),MAX(0,Tasks[[#This Row],[Finish Var]])+1-Tasks[[#This Row],[_Row]]/1000000,"")</f>
        <v/>
      </c>
      <c r="EO44" s="41" t="str">
        <f aca="false">IF(AND(Tasks[[#This Row],[_IsLeaf]]=1,N(Tasks[[#This Row],[Actual Start]])=0,Tasks[[#This Row],[_ShownFcstStart]]&gt;=StatusDate,Tasks[[#This Row],[_ShownFcstStart]]&lt;=LookaheadEnd),Tasks[[#This Row],[_ShownFcstStart]]+Tasks[[#This Row],[_Row]]/100000,"")</f>
        <v/>
      </c>
      <c r="EP44" s="41" t="str">
        <f aca="false">IF(AND(Tasks[[#This Row],[_IsLeaf]]=1,Tasks[[#This Row],[_LeafProgress]]&lt;1,Tasks[[#This Row],[_ShownFcstFinish]]&gt;=StatusDate,Tasks[[#This Row],[_ShownFcstFinish]]&lt;=LookaheadEnd),Tasks[[#This Row],[_ShownFcstFinish]]+Tasks[[#This Row],[_Row]]/100000,"")</f>
        <v/>
      </c>
      <c r="EQ44" s="41" t="str">
        <f aca="false">IF(Tasks[[#This Row],[_LeafCritical]],Tasks[[#This Row],[_ShownFcstStart]]+Tasks[[#This Row],[_Row]]/100000,"")</f>
        <v/>
      </c>
      <c r="ER44" s="41" t="n">
        <f aca="false">Tasks[[#This Row],[_LeafWork]]*Tasks[[#This Row],[_LeafProgress]]</f>
        <v>0</v>
      </c>
      <c r="ES44" s="101" t="str">
        <f aca="false">IF(AND(Tasks[[#This Row],[_IsLeaf]]=1,Tasks[[#This Row],[_LeafProgress]]&gt;=1),IF(N(Tasks[[#This Row],[Actual Finish]])&gt;0,Tasks[[#This Row],[Actual Finish]],Tasks[[#This Row],[_ShownFcstFinish]]),"")</f>
        <v/>
      </c>
      <c r="ET44" s="41" t="n">
        <f aca="false">IF(Tasks[[#This Row],[_IsLeaf]]=1,N(Tasks[[#This Row],[Story Points]]),0)</f>
        <v>0</v>
      </c>
      <c r="EU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29"/>
      <c r="O45" s="29"/>
      <c r="P45" s="29"/>
      <c r="Q45" s="29"/>
      <c r="R45" s="29"/>
      <c r="S45" s="29"/>
      <c r="T45" s="30"/>
      <c r="U45" s="75"/>
      <c r="V45" s="75"/>
      <c r="W45" s="25" t="str">
        <f aca="false">IF(Tasks[[#This Row],[Task Name]]="","",IF(N(Tasks[[#This Row],[Baseline Start]])&gt;0,Tasks[[#This Row],[Baseline Start]],Tasks[[#This Row],[_CalcStart]]))</f>
        <v/>
      </c>
      <c r="X45" s="25" t="str">
        <f aca="false">IF(Tasks[[#This Row],[Task Name]]="","",IF(N(Tasks[[#This Row],[Baseline Finish]])&gt;0,Tasks[[#This Row],[Baseline Finish]],Tasks[[#This Row],[_CalcFinish]]))</f>
        <v/>
      </c>
      <c r="Y45" s="75"/>
      <c r="Z45" s="75"/>
      <c r="AA45" s="25" t="str">
        <f aca="false">IF(Tasks[[#This Row],[Task Name]]="","",IF(Tasks[[#This Row],[_IsSummary]],MIN(INDEX(Tasks[_ShownFcstStart],Tasks[[#This Row],[_Row]]+1):INDEX(Tasks[_ShownFcstStart],Tasks[[#This Row],[_Row]]+Tasks[[#This Row],[_Descendants]])),Tasks[[#This Row],[_ShownFcstStart]]))</f>
        <v/>
      </c>
      <c r="AB45" s="25" t="str">
        <f aca="false">IF(Tasks[[#This Row],[Task Name]]="","",IF(Tasks[[#This Row],[_IsSummary]],MAX(INDEX(Tasks[_ShownFcstFinish],Tasks[[#This Row],[_Row]]+1):INDEX(Tasks[_ShownFcstFinish],Tasks[[#This Row],[_Row]]+Tasks[[#This Row],[_Descendants]])),Tasks[[#This Row],[_ShownFcstFinish]]))</f>
        <v/>
      </c>
      <c r="AC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5" s="25" t="str">
        <f aca="false">IF(Tasks[[#This Row],[Task Name]]="","",IF(Tasks[[#This Row],[_IsSummary]],MIN(INDEX(Tasks[_LeafLateStart],Tasks[[#This Row],[_Row]]+1):INDEX(Tasks[_LeafLateStart],Tasks[[#This Row],[_Row]]+Tasks[[#This Row],[_Descendants]])),Tasks[[#This Row],[_LeafLateStart]]))</f>
        <v/>
      </c>
      <c r="AF45" s="25" t="str">
        <f aca="false">IF(Tasks[[#This Row],[Task Name]]="","",IF(Tasks[[#This Row],[_IsSummary]],MAX(INDEX(Tasks[_LeafLateFinish],Tasks[[#This Row],[_Row]]+1):INDEX(Tasks[_LeafLateFinish],Tasks[[#This Row],[_Row]]+Tasks[[#This Row],[_Descendants]])),Tasks[[#This Row],[_LeafLateFinish]]))</f>
        <v/>
      </c>
      <c r="AG45" s="28" t="str">
        <f aca="false">IF(Tasks[[#This Row],[Task Name]]="","",IF(Tasks[[#This Row],[_IsSummary]],MIN(INDEX(Tasks[_LeafTotalSlack],Tasks[[#This Row],[_Row]]+1):INDEX(Tasks[_LeafTotalSlack],Tasks[[#This Row],[_Row]]+Tasks[[#This Row],[_Descendants]])),Tasks[[#This Row],[_LeafTotalSlack]]))</f>
        <v/>
      </c>
      <c r="AH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5" s="28" t="str">
        <f aca="false">IF(Tasks[[#This Row],[Task Name]]="","",IF(IF(Tasks[[#This Row],[_IsSummary]],COUNTIF(INDEX(Tasks[_LeafCritical],Tasks[[#This Row],[_Row]]+1):INDEX(Tasks[_LeafCritical],Tasks[[#This Row],[_Row]]+Tasks[[#This Row],[_Descendants]]),TRUE())&gt;0,Tasks[[#This Row],[_LeafCritical]]),"Yes",""))</f>
        <v/>
      </c>
      <c r="AJ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5" s="89"/>
      <c r="AM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5" s="28" t="str">
        <f aca="false">IF(Tasks[[#This Row],[Task Name]]="","",IF(Tasks[[#This Row],[Progress]]&gt;=1,"Complete",IF(OR(N(Tasks[[#This Row],[Actual Start]])&gt;0,Tasks[[#This Row],[Progress]]&gt;0),IF(Tasks[[#This Row],[Finish Var]]&gt;0,"Behind","In Progress"),IF(Tasks[[#This Row],[Planned Start]]&lt;StatusDate,"Late Start","Not Started"))))</f>
        <v/>
      </c>
      <c r="AO45" s="30"/>
      <c r="AP45" s="89"/>
      <c r="AQ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5" s="96" t="str">
        <f aca="false">IF(Tasks[[#This Row],[Task Name]]="","",IF(Tasks[[#This Row],[_IsSummary]],SUM(INDEX(Tasks[_LeafTotalWork],Tasks[[#This Row],[_Row]]+1):INDEX(Tasks[_LeafTotalWork],Tasks[[#This Row],[_Row]]+Tasks[[#This Row],[_Descendants]])),Tasks[[#This Row],[_LeafTotalWork]]))</f>
        <v/>
      </c>
      <c r="AT45" s="97" t="str">
        <f aca="false">IF(Tasks[[#This Row],[Task Name]]="","",IF(Tasks[[#This Row],[_IsSummary]],SUM(INDEX(Tasks[_LeafTotalCost],Tasks[[#This Row],[_Row]]+1):INDEX(Tasks[_LeafTotalCost],Tasks[[#This Row],[_Row]]+Tasks[[#This Row],[_Descendants]])),Tasks[[#This Row],[_LeafTotalCost]]))</f>
        <v/>
      </c>
      <c r="AU45" s="98"/>
      <c r="AV45" s="29"/>
      <c r="AW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5" s="83"/>
      <c r="AY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5" s="30"/>
      <c r="BA45" s="25" t="str">
        <f aca="false">IF(Tasks[[#This Row],[Task Name]]="","",Tasks[[#This Row],[Forecast Start]])</f>
        <v/>
      </c>
      <c r="BB45" s="25" t="str">
        <f aca="false">IF(Tasks[[#This Row],[Task Name]]="","",Tasks[[#This Row],[Forecast Finish]])</f>
        <v/>
      </c>
      <c r="BC45" s="28" t="str">
        <f aca="false">IF(Tasks[[#This Row],[Task Name]]="","",IF(Tasks[[#This Row],[_IsSummary]],NETWORKDAYS.INTL(Tasks[[#This Row],[Forecast Start]],Tasks[[#This Row],[Forecast Finish]],WorkWeek,Holidays),N(Tasks[[#This Row],[Duration]])))</f>
        <v/>
      </c>
      <c r="BD45" s="96" t="str">
        <f aca="false">IF(Tasks[[#This Row],[Task Name]]="","",Tasks[[#This Row],[Work]])</f>
        <v/>
      </c>
      <c r="BE45" s="97" t="str">
        <f aca="false">IF(Tasks[[#This Row],[Task Name]]="","",Tasks[[#This Row],[Cost]])</f>
        <v/>
      </c>
      <c r="BF45" s="75"/>
      <c r="BG45" s="75"/>
      <c r="BH45" s="29"/>
      <c r="BI45" s="99"/>
      <c r="BJ45" s="98"/>
      <c r="BK45" s="28" t="str">
        <f aca="false">IF(OR(Tasks[[#This Row],[Task Name]]="",Tasks[[#This Row],[Baseline Duration]]=""),"",Tasks[[#This Row],[BL Source Duration]]-N(Tasks[[#This Row],[Baseline Duration]]))</f>
        <v/>
      </c>
      <c r="BL45" s="96" t="str">
        <f aca="false">IF(OR(Tasks[[#This Row],[Task Name]]="",Tasks[[#This Row],[Baseline Work]]=""),"",Tasks[[#This Row],[Work]]-N(Tasks[[#This Row],[Baseline Work]]))</f>
        <v/>
      </c>
      <c r="BM45" s="97" t="str">
        <f aca="false">IF(OR(Tasks[[#This Row],[Task Name]]="",Tasks[[#This Row],[Baseline Cost]]=""),"",Tasks[[#This Row],[Cost]]-N(Tasks[[#This Row],[Baseline Cost]]))</f>
        <v/>
      </c>
      <c r="BN45" s="97" t="str">
        <f aca="false">IF(Tasks[[#This Row],[Task Name]]="","",IF(Tasks[[#This Row],[_IsSummary]],SUM(INDEX(Tasks[_LeafBudget],Tasks[[#This Row],[_Row]]+1):INDEX(Tasks[_LeafBudget],Tasks[[#This Row],[_Row]]+Tasks[[#This Row],[_Descendants]])),Tasks[[#This Row],[_LeafBudget]]))</f>
        <v/>
      </c>
      <c r="BO45" s="97" t="str">
        <f aca="false">IF(Tasks[[#This Row],[Task Name]]="","",IF(Tasks[[#This Row],[_IsSummary]],SUM(INDEX(Tasks[_LeafPV],Tasks[[#This Row],[_Row]]+1):INDEX(Tasks[_LeafPV],Tasks[[#This Row],[_Row]]+Tasks[[#This Row],[_Descendants]])),Tasks[[#This Row],[_LeafPV]]))</f>
        <v/>
      </c>
      <c r="BP45" s="97" t="str">
        <f aca="false">IF(Tasks[[#This Row],[Task Name]]="","",IF(Tasks[[#This Row],[_IsSummary]],SUM(INDEX(Tasks[_LeafEV],Tasks[[#This Row],[_Row]]+1):INDEX(Tasks[_LeafEV],Tasks[[#This Row],[_Row]]+Tasks[[#This Row],[_Descendants]])),Tasks[[#This Row],[_LeafEV]]))</f>
        <v/>
      </c>
      <c r="BQ45" s="97" t="str">
        <f aca="false">IF(Tasks[[#This Row],[Task Name]]="","",IF(Tasks[[#This Row],[_IsSummary]],SUM(INDEX(Tasks[_LeafAC],Tasks[[#This Row],[_Row]]+1):INDEX(Tasks[_LeafAC],Tasks[[#This Row],[_Row]]+Tasks[[#This Row],[_Descendants]])),Tasks[[#This Row],[_LeafAC]]))</f>
        <v/>
      </c>
      <c r="BR45" s="41" t="str">
        <f aca="false">IF(Tasks[[#This Row],[Task Name]]="","",MAX(1,N(Tasks[[#This Row],[Level]])))</f>
        <v/>
      </c>
      <c r="BS45" s="41" t="n">
        <f aca="false">ROW()-ROW(Tasks[[#Headers],[ID]])</f>
        <v>40</v>
      </c>
      <c r="BT45" s="41" t="n">
        <f aca="false">IF(OR(Tasks[[#This Row],[Task Name]]="",Tasks[[#This Row],[_Level]]&lt;=1),0,IFERROR(LOOKUP(2,1/(Tasks[[#Headers],[_Level]]:Tasks[[#This Row],[_Level]]=Tasks[[#This Row],[_Level]]-1),ROW(Tasks[[#Headers],[_Level]]:Tasks[[#This Row],[_Level]])),0))</f>
        <v>0</v>
      </c>
      <c r="BU45" s="41" t="n">
        <f aca="false">IFERROR(N(INDEX(Tasks[_Level],Tasks[[#This Row],[_Row]]+1)),0)</f>
        <v>0</v>
      </c>
      <c r="BV45" s="100" t="b">
        <f aca="false">AND(Tasks[[#This Row],[Task Name]]&lt;&gt;"",Tasks[[#This Row],[_NextLevel]]&gt;Tasks[[#This Row],[_Level]])</f>
        <v>0</v>
      </c>
      <c r="BW45" s="41" t="n">
        <f aca="false">IF(Tasks[[#This Row],[_IsSummary]],COUNTIF(Tasks[WBS],Tasks[[#This Row],[WBS]]&amp;".*"),0)</f>
        <v>0</v>
      </c>
      <c r="BX45" s="41" t="n">
        <f aca="false">IF(AND(Tasks[[#This Row],[Task Name]]&lt;&gt;"",NOT(Tasks[[#This Row],[_IsSummary]])),1,0)</f>
        <v>0</v>
      </c>
      <c r="BY45" s="41" t="n">
        <f aca="false">IF(N(Tasks[[#This Row],[Pred1 UID]])=0,0,IFERROR(MATCH(Tasks[[#This Row],[Pred1 UID]],Tasks[UID],0),-1))</f>
        <v>0</v>
      </c>
      <c r="BZ45" s="41" t="n">
        <f aca="false">IF(N(Tasks[[#This Row],[Pred2 UID]])=0,0,IFERROR(MATCH(Tasks[[#This Row],[Pred2 UID]],Tasks[UID],0),-1))</f>
        <v>0</v>
      </c>
      <c r="CA45" s="41" t="n">
        <f aca="false">IF(N(Tasks[[#This Row],[Pred3 UID]])=0,0,IFERROR(MATCH(Tasks[[#This Row],[Pred3 UID]],Tasks[UID],0),-1))</f>
        <v>0</v>
      </c>
      <c r="CB45" s="41" t="n">
        <f aca="false">IF(N(Tasks[[#This Row],[Pred4 UID]])=0,0,IFERROR(MATCH(Tasks[[#This Row],[Pred4 UID]],Tasks[UID],0),-1))</f>
        <v>0</v>
      </c>
      <c r="CC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5" s="101" t="n">
        <f aca="false">IF(OR(Tasks[[#This Row],[_ConstraintCode]]=2,Tasks[[#This Row],[_ConstraintCode]]=3,Tasks[[#This Row],[_ConstraintCode]]=4,Tasks[[#This Row],[_ConstraintCode]]=6),Tasks[[#This Row],[_ConstraintStart]],0)</f>
        <v>0</v>
      </c>
      <c r="CF45" s="101" t="n">
        <f aca="false">IF(OR(Tasks[[#This Row],[_ConstraintCode]]=2,Tasks[[#This Row],[_ConstraintCode]]=3,Tasks[[#This Row],[_ConstraintCode]]=5,Tasks[[#This Row],[_ConstraintCode]]=7),Tasks[[#This Row],[_ConstraintStart]],2958465)</f>
        <v>2958465</v>
      </c>
      <c r="CG4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5" s="101" t="str">
        <f aca="false">IF(NOT(Tasks[[#This Row],[_IsLeaf]]=1),"",IF(N(Tasks[[#This Row],[Duration]])&lt;=0,Tasks[[#This Row],[_LeafCalcStart]],WORKDAY.INTL(Tasks[[#This Row],[_LeafCalcStart]],Tasks[[#This Row],[Duration]]-1,WorkWeek,Holidays)))</f>
        <v/>
      </c>
      <c r="CI4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5" s="41" t="n">
        <f aca="false">IF(NOT(Tasks[[#This Row],[_IsLeaf]]=1),0,IF(N(Tasks[[#This Row],[Actual Finish]])&gt;0,1,MIN(1,N(Tasks[[#This Row],[% Complete]]))))</f>
        <v>0</v>
      </c>
      <c r="CL45" s="41" t="n">
        <f aca="false">IF(OR(NOT(Tasks[[#This Row],[_IsLeaf]]=1),Tasks[[#This Row],[Resource]]=""),0,N(Tasks[[#This Row],[Duration]])*HoursPerDay*IF(Tasks[[#This Row],[Units]]="",DefaultUnits,Tasks[[#This Row],[Units]]))</f>
        <v>0</v>
      </c>
      <c r="CM45" s="41" t="n">
        <f aca="false">IF(Tasks[[#This Row],[_LeafWork]]=0,0,Tasks[[#This Row],[_LeafWork]]*IFERROR(INDEX(res_Rate,MATCH(Tasks[[#This Row],[Resource]],res_Name,0)),0))</f>
        <v>0</v>
      </c>
      <c r="CN45" s="41" t="n">
        <f aca="false">Tasks[[#This Row],[_LeafWork]]+IF(Tasks[[#This Row],[_IsLeaf]]=1,SUMIFS(asg_Work,asg_TaskUID,Tasks[[#This Row],[UID]],asg_Valid,1),0)</f>
        <v>0</v>
      </c>
      <c r="CO45" s="41" t="n">
        <f aca="false">Tasks[[#This Row],[_LeafCost]]+IF(Tasks[[#This Row],[_IsLeaf]]=1,SUMIFS(asg_Cost,asg_TaskUID,Tasks[[#This Row],[UID]],asg_Valid,1),0)</f>
        <v>0</v>
      </c>
      <c r="CP45" s="41" t="n">
        <f aca="false">IF(Tasks[[#This Row],[_LeafTotalCost]]=0,Tasks[[#This Row],[_LeafAC]],Tasks[[#This Row],[_LeafAC]]*Tasks[[#This Row],[_LeafCost]]/Tasks[[#This Row],[_LeafTotalCost]])</f>
        <v>0</v>
      </c>
      <c r="CQ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5" s="41" t="n">
        <f aca="false">IF(NOT(Tasks[[#This Row],[_IsLeaf]]=1),0,MAX(_xlfn.MAXIFS(Tasks[_Row],Tasks[Pred1 UID],Tasks[[#This Row],[UID]]),_xlfn.MAXIFS(Tasks[_Row],Tasks[Pred2 UID],Tasks[[#This Row],[UID]]),_xlfn.MAXIFS(Tasks[_Row],Tasks[Pred3 UID],Tasks[[#This Row],[UID]]),_xlfn.MAXIFS(Tasks[_Row],Tasks[Pred4 UID],Tasks[[#This Row],[UID]])))</f>
        <v>0</v>
      </c>
      <c r="CZ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5" s="101" t="str">
        <f aca="false">IF(NOT(Tasks[[#This Row],[_IsLeaf]]=1),"",IF(N(Tasks[[#This Row],[Duration]])&lt;=0,Tasks[[#This Row],[_LeafLateFinish]],WORKDAY.INTL(Tasks[[#This Row],[_LeafLateFinish]],-(Tasks[[#This Row],[Duration]]-1),WorkWeek,Holidays)))</f>
        <v/>
      </c>
      <c r="DC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5" s="100" t="b">
        <f aca="false">AND(Tasks[[#This Row],[_IsLeaf]]=1,Tasks[[#This Row],[_LeafProgress]]&lt;1,N(Tasks[[#This Row],[_LeafTotalSlack]])&lt;=CriticalSlackDays)</f>
        <v>0</v>
      </c>
      <c r="DE45" s="41" t="n">
        <f aca="false">IF(AND(Tasks[[#This Row],[_IsLeaf]]=1,Tasks[[#This Row],[_ConstraintCode]]=1,Tasks[[#This Row],[Mode]]&lt;&gt;"Manual",N(Tasks[[#This Row],[Actual Start]])=0),MAX(0,N(Tasks[[#This Row],[Free Slack]])),0)</f>
        <v>0</v>
      </c>
      <c r="DF45" s="101" t="str">
        <f aca="false">IF(NOT(Tasks[[#This Row],[_IsLeaf]]=1),"",IF(Tasks[[#This Row],[_AlapShift]]=0,Tasks[[#This Row],[_LeafCalcStart]],WORKDAY.INTL(Tasks[[#This Row],[_LeafCalcStart]],Tasks[[#This Row],[_AlapShift]],WorkWeek,Holidays)))</f>
        <v/>
      </c>
      <c r="DG45" s="101" t="str">
        <f aca="false">IF(NOT(Tasks[[#This Row],[_IsLeaf]]=1),"",IF(Tasks[[#This Row],[_AlapShift]]=0,Tasks[[#This Row],[_LeafCalcFinish]],WORKDAY.INTL(Tasks[[#This Row],[_LeafCalcFinish]],Tasks[[#This Row],[_AlapShift]],WorkWeek,Holidays)))</f>
        <v/>
      </c>
      <c r="DH45" s="101" t="str">
        <f aca="false">IF(NOT(Tasks[[#This Row],[_IsLeaf]]=1),"",IF(Tasks[[#This Row],[_AlapShift]]=0,Tasks[[#This Row],[_LeafFcstStart]],WORKDAY.INTL(Tasks[[#This Row],[_LeafFcstStart]],Tasks[[#This Row],[_AlapShift]],WorkWeek,Holidays)))</f>
        <v/>
      </c>
      <c r="DI45" s="101" t="str">
        <f aca="false">IF(NOT(Tasks[[#This Row],[_IsLeaf]]=1),"",IF(Tasks[[#This Row],[_AlapShift]]=0,Tasks[[#This Row],[_LeafFcstFinish]],WORKDAY.INTL(Tasks[[#This Row],[_LeafFcstFinish]],Tasks[[#This Row],[_AlapShift]],WorkWeek,Holidays)))</f>
        <v/>
      </c>
      <c r="DJ45" s="101" t="str">
        <f aca="false">IF(Tasks[[#This Row],[Task Name]]="","",IF(Tasks[[#This Row],[_IsSummary]],MIN(INDEX(Tasks[_ShownCalcStart],Tasks[[#This Row],[_Row]]+1):INDEX(Tasks[_ShownCalcStart],Tasks[[#This Row],[_Row]]+Tasks[[#This Row],[_Descendants]])),Tasks[[#This Row],[_ShownCalcStart]]))</f>
        <v/>
      </c>
      <c r="DK45" s="101" t="str">
        <f aca="false">IF(Tasks[[#This Row],[Task Name]]="","",IF(Tasks[[#This Row],[_IsSummary]],MAX(INDEX(Tasks[_ShownCalcFinish],Tasks[[#This Row],[_Row]]+1):INDEX(Tasks[_ShownCalcFinish],Tasks[[#This Row],[_Row]]+Tasks[[#This Row],[_Descendants]])),Tasks[[#This Row],[_ShownCalcFinish]]))</f>
        <v/>
      </c>
      <c r="D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5" s="41" t="n">
        <f aca="false">IF(AND(Tasks[[#This Row],[_IsLeaf]]=1,Tasks[[#This Row],[_LeafTotalWork]]&gt;0),NETWORKDAYS.INTL(ProjectStart,Tasks[[#This Row],[_ShownFcstStart]],WorkWeek,Holidays),0)</f>
        <v>0</v>
      </c>
      <c r="DY45" s="41" t="n">
        <f aca="false">IF(AND(Tasks[[#This Row],[_IsLeaf]]=1,Tasks[[#This Row],[_LeafTotalWork]]&gt;0),MAX(Tasks[[#This Row],[_StartWorkday]],NETWORKDAYS.INTL(ProjectStart,Tasks[[#This Row],[_ShownFcstFinish]],WorkWeek,Holidays)),0)</f>
        <v>0</v>
      </c>
      <c r="DZ45" s="41" t="n">
        <f aca="false">IF(AND(Tasks[[#This Row],[_IsLeaf]]=1,Tasks[[#This Row],[_LeafTotalWork]]&gt;0),Tasks[[#This Row],[_LeafWork]]/(Tasks[[#This Row],[_FinishWorkday]]-Tasks[[#This Row],[_StartWorkday]]+1),0)</f>
        <v>0</v>
      </c>
      <c r="EA45" s="41" t="n">
        <f aca="false">Tasks[[#This Row],[_WorkPerWorkday]]*(Tasks[[#This Row],[_StartWorkday]]-1)</f>
        <v>-0</v>
      </c>
      <c r="EB45" s="41" t="n">
        <f aca="false">IF(Tasks[[#This Row],[_IsLeaf]]=1,MAX(N(Tasks[[#This Row],[Duration]]),0.1),0)</f>
        <v>0</v>
      </c>
      <c r="EC45" s="41" t="n">
        <f aca="false">Tasks[[#This Row],[_WeightDur]]*Tasks[[#This Row],[_LeafProgress]]</f>
        <v>0</v>
      </c>
      <c r="ED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5" s="41" t="str">
        <f aca="false">IF(AND(Tasks[[#This Row],[_IsLeaf]]=1,N(Tasks[[#This Row],[Duration]])=0,Tasks[[#This Row],[_LeafProgress]]&lt;1),Tasks[[#This Row],[_ShownFcstFinish]]+Tasks[[#This Row],[_Row]]/100000,"")</f>
        <v/>
      </c>
      <c r="EF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5" s="41" t="n">
        <f aca="false">IF(NOT(Tasks[[#This Row],[_IsLeaf]]=1),0,IF(Tasks[[#This Row],[Baseline Cost]]="",Tasks[[#This Row],[_LeafTotalCost]],N(Tasks[[#This Row],[Baseline Cost]])))</f>
        <v>0</v>
      </c>
      <c r="EH45" s="41" t="n">
        <f aca="false">Tasks[[#This Row],[_LeafBudget]]*Tasks[[#This Row],[_PlannedPct]]</f>
        <v>0</v>
      </c>
      <c r="EI45" s="41" t="n">
        <f aca="false">Tasks[[#This Row],[_LeafBudget]]*Tasks[[#This Row],[_LeafProgress]]</f>
        <v>0</v>
      </c>
      <c r="EJ45" s="41" t="n">
        <f aca="false">IF(NOT(Tasks[[#This Row],[_IsLeaf]]=1),0,IF(Tasks[[#This Row],[Actual Cost]]="",Tasks[[#This Row],[_LeafTotalCost]]*Tasks[[#This Row],[_LeafProgress]],N(Tasks[[#This Row],[Actual Cost]])))</f>
        <v>0</v>
      </c>
      <c r="EK45" s="41" t="str">
        <f aca="false">IF(Tasks[[#This Row],[Task Name]]="","",LEFT(Tasks[[#This Row],[WBS]],FIND(".",Tasks[[#This Row],[WBS]]&amp;".")-1))</f>
        <v/>
      </c>
      <c r="EL45" s="41" t="str">
        <f aca="false">IF(AND(Tasks[[#This Row],[Task Name]]&lt;&gt;"",Tasks[[#This Row],[_Level]]=1),Tasks[[#This Row],[_Row]],"")</f>
        <v/>
      </c>
      <c r="EM45" s="41" t="str">
        <f aca="false">IF(AND(Tasks[[#This Row],[_IsLeaf]]=1,N(Tasks[[#This Row],[Duration]])=0),Tasks[[#This Row],[Planned Finish]]+Tasks[[#This Row],[_Row]]/100000,"")</f>
        <v/>
      </c>
      <c r="EN45" s="41" t="str">
        <f aca="false">IF(AND(Tasks[[#This Row],[_IsLeaf]]=1,Tasks[[#This Row],[_LeafProgress]]&lt;1,OR(N(Tasks[[#This Row],[Finish Var]])&gt;0,Tasks[[#This Row],[Status]]="Late Start")),MAX(0,Tasks[[#This Row],[Finish Var]])+1-Tasks[[#This Row],[_Row]]/1000000,"")</f>
        <v/>
      </c>
      <c r="EO45" s="41" t="str">
        <f aca="false">IF(AND(Tasks[[#This Row],[_IsLeaf]]=1,N(Tasks[[#This Row],[Actual Start]])=0,Tasks[[#This Row],[_ShownFcstStart]]&gt;=StatusDate,Tasks[[#This Row],[_ShownFcstStart]]&lt;=LookaheadEnd),Tasks[[#This Row],[_ShownFcstStart]]+Tasks[[#This Row],[_Row]]/100000,"")</f>
        <v/>
      </c>
      <c r="EP45" s="41" t="str">
        <f aca="false">IF(AND(Tasks[[#This Row],[_IsLeaf]]=1,Tasks[[#This Row],[_LeafProgress]]&lt;1,Tasks[[#This Row],[_ShownFcstFinish]]&gt;=StatusDate,Tasks[[#This Row],[_ShownFcstFinish]]&lt;=LookaheadEnd),Tasks[[#This Row],[_ShownFcstFinish]]+Tasks[[#This Row],[_Row]]/100000,"")</f>
        <v/>
      </c>
      <c r="EQ45" s="41" t="str">
        <f aca="false">IF(Tasks[[#This Row],[_LeafCritical]],Tasks[[#This Row],[_ShownFcstStart]]+Tasks[[#This Row],[_Row]]/100000,"")</f>
        <v/>
      </c>
      <c r="ER45" s="41" t="n">
        <f aca="false">Tasks[[#This Row],[_LeafWork]]*Tasks[[#This Row],[_LeafProgress]]</f>
        <v>0</v>
      </c>
      <c r="ES45" s="101" t="str">
        <f aca="false">IF(AND(Tasks[[#This Row],[_IsLeaf]]=1,Tasks[[#This Row],[_LeafProgress]]&gt;=1),IF(N(Tasks[[#This Row],[Actual Finish]])&gt;0,Tasks[[#This Row],[Actual Finish]],Tasks[[#This Row],[_ShownFcstFinish]]),"")</f>
        <v/>
      </c>
      <c r="ET45" s="41" t="n">
        <f aca="false">IF(Tasks[[#This Row],[_IsLeaf]]=1,N(Tasks[[#This Row],[Story Points]]),0)</f>
        <v>0</v>
      </c>
      <c r="EU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29"/>
      <c r="O46" s="29"/>
      <c r="P46" s="29"/>
      <c r="Q46" s="29"/>
      <c r="R46" s="29"/>
      <c r="S46" s="29"/>
      <c r="T46" s="30"/>
      <c r="U46" s="75"/>
      <c r="V46" s="75"/>
      <c r="W46" s="25" t="str">
        <f aca="false">IF(Tasks[[#This Row],[Task Name]]="","",IF(N(Tasks[[#This Row],[Baseline Start]])&gt;0,Tasks[[#This Row],[Baseline Start]],Tasks[[#This Row],[_CalcStart]]))</f>
        <v/>
      </c>
      <c r="X46" s="25" t="str">
        <f aca="false">IF(Tasks[[#This Row],[Task Name]]="","",IF(N(Tasks[[#This Row],[Baseline Finish]])&gt;0,Tasks[[#This Row],[Baseline Finish]],Tasks[[#This Row],[_CalcFinish]]))</f>
        <v/>
      </c>
      <c r="Y46" s="75"/>
      <c r="Z46" s="75"/>
      <c r="AA46" s="25" t="str">
        <f aca="false">IF(Tasks[[#This Row],[Task Name]]="","",IF(Tasks[[#This Row],[_IsSummary]],MIN(INDEX(Tasks[_ShownFcstStart],Tasks[[#This Row],[_Row]]+1):INDEX(Tasks[_ShownFcstStart],Tasks[[#This Row],[_Row]]+Tasks[[#This Row],[_Descendants]])),Tasks[[#This Row],[_ShownFcstStart]]))</f>
        <v/>
      </c>
      <c r="AB46" s="25" t="str">
        <f aca="false">IF(Tasks[[#This Row],[Task Name]]="","",IF(Tasks[[#This Row],[_IsSummary]],MAX(INDEX(Tasks[_ShownFcstFinish],Tasks[[#This Row],[_Row]]+1):INDEX(Tasks[_ShownFcstFinish],Tasks[[#This Row],[_Row]]+Tasks[[#This Row],[_Descendants]])),Tasks[[#This Row],[_ShownFcstFinish]]))</f>
        <v/>
      </c>
      <c r="AC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6" s="25" t="str">
        <f aca="false">IF(Tasks[[#This Row],[Task Name]]="","",IF(Tasks[[#This Row],[_IsSummary]],MIN(INDEX(Tasks[_LeafLateStart],Tasks[[#This Row],[_Row]]+1):INDEX(Tasks[_LeafLateStart],Tasks[[#This Row],[_Row]]+Tasks[[#This Row],[_Descendants]])),Tasks[[#This Row],[_LeafLateStart]]))</f>
        <v/>
      </c>
      <c r="AF46" s="25" t="str">
        <f aca="false">IF(Tasks[[#This Row],[Task Name]]="","",IF(Tasks[[#This Row],[_IsSummary]],MAX(INDEX(Tasks[_LeafLateFinish],Tasks[[#This Row],[_Row]]+1):INDEX(Tasks[_LeafLateFinish],Tasks[[#This Row],[_Row]]+Tasks[[#This Row],[_Descendants]])),Tasks[[#This Row],[_LeafLateFinish]]))</f>
        <v/>
      </c>
      <c r="AG46" s="28" t="str">
        <f aca="false">IF(Tasks[[#This Row],[Task Name]]="","",IF(Tasks[[#This Row],[_IsSummary]],MIN(INDEX(Tasks[_LeafTotalSlack],Tasks[[#This Row],[_Row]]+1):INDEX(Tasks[_LeafTotalSlack],Tasks[[#This Row],[_Row]]+Tasks[[#This Row],[_Descendants]])),Tasks[[#This Row],[_LeafTotalSlack]]))</f>
        <v/>
      </c>
      <c r="AH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6" s="28" t="str">
        <f aca="false">IF(Tasks[[#This Row],[Task Name]]="","",IF(IF(Tasks[[#This Row],[_IsSummary]],COUNTIF(INDEX(Tasks[_LeafCritical],Tasks[[#This Row],[_Row]]+1):INDEX(Tasks[_LeafCritical],Tasks[[#This Row],[_Row]]+Tasks[[#This Row],[_Descendants]]),TRUE())&gt;0,Tasks[[#This Row],[_LeafCritical]]),"Yes",""))</f>
        <v/>
      </c>
      <c r="AJ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6" s="89"/>
      <c r="AM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6" s="28" t="str">
        <f aca="false">IF(Tasks[[#This Row],[Task Name]]="","",IF(Tasks[[#This Row],[Progress]]&gt;=1,"Complete",IF(OR(N(Tasks[[#This Row],[Actual Start]])&gt;0,Tasks[[#This Row],[Progress]]&gt;0),IF(Tasks[[#This Row],[Finish Var]]&gt;0,"Behind","In Progress"),IF(Tasks[[#This Row],[Planned Start]]&lt;StatusDate,"Late Start","Not Started"))))</f>
        <v/>
      </c>
      <c r="AO46" s="30"/>
      <c r="AP46" s="89"/>
      <c r="AQ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6" s="96" t="str">
        <f aca="false">IF(Tasks[[#This Row],[Task Name]]="","",IF(Tasks[[#This Row],[_IsSummary]],SUM(INDEX(Tasks[_LeafTotalWork],Tasks[[#This Row],[_Row]]+1):INDEX(Tasks[_LeafTotalWork],Tasks[[#This Row],[_Row]]+Tasks[[#This Row],[_Descendants]])),Tasks[[#This Row],[_LeafTotalWork]]))</f>
        <v/>
      </c>
      <c r="AT46" s="97" t="str">
        <f aca="false">IF(Tasks[[#This Row],[Task Name]]="","",IF(Tasks[[#This Row],[_IsSummary]],SUM(INDEX(Tasks[_LeafTotalCost],Tasks[[#This Row],[_Row]]+1):INDEX(Tasks[_LeafTotalCost],Tasks[[#This Row],[_Row]]+Tasks[[#This Row],[_Descendants]])),Tasks[[#This Row],[_LeafTotalCost]]))</f>
        <v/>
      </c>
      <c r="AU46" s="98"/>
      <c r="AV46" s="29"/>
      <c r="AW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6" s="83"/>
      <c r="AY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6" s="30"/>
      <c r="BA46" s="25" t="str">
        <f aca="false">IF(Tasks[[#This Row],[Task Name]]="","",Tasks[[#This Row],[Forecast Start]])</f>
        <v/>
      </c>
      <c r="BB46" s="25" t="str">
        <f aca="false">IF(Tasks[[#This Row],[Task Name]]="","",Tasks[[#This Row],[Forecast Finish]])</f>
        <v/>
      </c>
      <c r="BC46" s="28" t="str">
        <f aca="false">IF(Tasks[[#This Row],[Task Name]]="","",IF(Tasks[[#This Row],[_IsSummary]],NETWORKDAYS.INTL(Tasks[[#This Row],[Forecast Start]],Tasks[[#This Row],[Forecast Finish]],WorkWeek,Holidays),N(Tasks[[#This Row],[Duration]])))</f>
        <v/>
      </c>
      <c r="BD46" s="96" t="str">
        <f aca="false">IF(Tasks[[#This Row],[Task Name]]="","",Tasks[[#This Row],[Work]])</f>
        <v/>
      </c>
      <c r="BE46" s="97" t="str">
        <f aca="false">IF(Tasks[[#This Row],[Task Name]]="","",Tasks[[#This Row],[Cost]])</f>
        <v/>
      </c>
      <c r="BF46" s="75"/>
      <c r="BG46" s="75"/>
      <c r="BH46" s="29"/>
      <c r="BI46" s="99"/>
      <c r="BJ46" s="98"/>
      <c r="BK46" s="28" t="str">
        <f aca="false">IF(OR(Tasks[[#This Row],[Task Name]]="",Tasks[[#This Row],[Baseline Duration]]=""),"",Tasks[[#This Row],[BL Source Duration]]-N(Tasks[[#This Row],[Baseline Duration]]))</f>
        <v/>
      </c>
      <c r="BL46" s="96" t="str">
        <f aca="false">IF(OR(Tasks[[#This Row],[Task Name]]="",Tasks[[#This Row],[Baseline Work]]=""),"",Tasks[[#This Row],[Work]]-N(Tasks[[#This Row],[Baseline Work]]))</f>
        <v/>
      </c>
      <c r="BM46" s="97" t="str">
        <f aca="false">IF(OR(Tasks[[#This Row],[Task Name]]="",Tasks[[#This Row],[Baseline Cost]]=""),"",Tasks[[#This Row],[Cost]]-N(Tasks[[#This Row],[Baseline Cost]]))</f>
        <v/>
      </c>
      <c r="BN46" s="97" t="str">
        <f aca="false">IF(Tasks[[#This Row],[Task Name]]="","",IF(Tasks[[#This Row],[_IsSummary]],SUM(INDEX(Tasks[_LeafBudget],Tasks[[#This Row],[_Row]]+1):INDEX(Tasks[_LeafBudget],Tasks[[#This Row],[_Row]]+Tasks[[#This Row],[_Descendants]])),Tasks[[#This Row],[_LeafBudget]]))</f>
        <v/>
      </c>
      <c r="BO46" s="97" t="str">
        <f aca="false">IF(Tasks[[#This Row],[Task Name]]="","",IF(Tasks[[#This Row],[_IsSummary]],SUM(INDEX(Tasks[_LeafPV],Tasks[[#This Row],[_Row]]+1):INDEX(Tasks[_LeafPV],Tasks[[#This Row],[_Row]]+Tasks[[#This Row],[_Descendants]])),Tasks[[#This Row],[_LeafPV]]))</f>
        <v/>
      </c>
      <c r="BP46" s="97" t="str">
        <f aca="false">IF(Tasks[[#This Row],[Task Name]]="","",IF(Tasks[[#This Row],[_IsSummary]],SUM(INDEX(Tasks[_LeafEV],Tasks[[#This Row],[_Row]]+1):INDEX(Tasks[_LeafEV],Tasks[[#This Row],[_Row]]+Tasks[[#This Row],[_Descendants]])),Tasks[[#This Row],[_LeafEV]]))</f>
        <v/>
      </c>
      <c r="BQ46" s="97" t="str">
        <f aca="false">IF(Tasks[[#This Row],[Task Name]]="","",IF(Tasks[[#This Row],[_IsSummary]],SUM(INDEX(Tasks[_LeafAC],Tasks[[#This Row],[_Row]]+1):INDEX(Tasks[_LeafAC],Tasks[[#This Row],[_Row]]+Tasks[[#This Row],[_Descendants]])),Tasks[[#This Row],[_LeafAC]]))</f>
        <v/>
      </c>
      <c r="BR46" s="41" t="str">
        <f aca="false">IF(Tasks[[#This Row],[Task Name]]="","",MAX(1,N(Tasks[[#This Row],[Level]])))</f>
        <v/>
      </c>
      <c r="BS46" s="41" t="n">
        <f aca="false">ROW()-ROW(Tasks[[#Headers],[ID]])</f>
        <v>41</v>
      </c>
      <c r="BT46" s="41" t="n">
        <f aca="false">IF(OR(Tasks[[#This Row],[Task Name]]="",Tasks[[#This Row],[_Level]]&lt;=1),0,IFERROR(LOOKUP(2,1/(Tasks[[#Headers],[_Level]]:Tasks[[#This Row],[_Level]]=Tasks[[#This Row],[_Level]]-1),ROW(Tasks[[#Headers],[_Level]]:Tasks[[#This Row],[_Level]])),0))</f>
        <v>0</v>
      </c>
      <c r="BU46" s="41" t="n">
        <f aca="false">IFERROR(N(INDEX(Tasks[_Level],Tasks[[#This Row],[_Row]]+1)),0)</f>
        <v>0</v>
      </c>
      <c r="BV46" s="100" t="b">
        <f aca="false">AND(Tasks[[#This Row],[Task Name]]&lt;&gt;"",Tasks[[#This Row],[_NextLevel]]&gt;Tasks[[#This Row],[_Level]])</f>
        <v>0</v>
      </c>
      <c r="BW46" s="41" t="n">
        <f aca="false">IF(Tasks[[#This Row],[_IsSummary]],COUNTIF(Tasks[WBS],Tasks[[#This Row],[WBS]]&amp;".*"),0)</f>
        <v>0</v>
      </c>
      <c r="BX46" s="41" t="n">
        <f aca="false">IF(AND(Tasks[[#This Row],[Task Name]]&lt;&gt;"",NOT(Tasks[[#This Row],[_IsSummary]])),1,0)</f>
        <v>0</v>
      </c>
      <c r="BY46" s="41" t="n">
        <f aca="false">IF(N(Tasks[[#This Row],[Pred1 UID]])=0,0,IFERROR(MATCH(Tasks[[#This Row],[Pred1 UID]],Tasks[UID],0),-1))</f>
        <v>0</v>
      </c>
      <c r="BZ46" s="41" t="n">
        <f aca="false">IF(N(Tasks[[#This Row],[Pred2 UID]])=0,0,IFERROR(MATCH(Tasks[[#This Row],[Pred2 UID]],Tasks[UID],0),-1))</f>
        <v>0</v>
      </c>
      <c r="CA46" s="41" t="n">
        <f aca="false">IF(N(Tasks[[#This Row],[Pred3 UID]])=0,0,IFERROR(MATCH(Tasks[[#This Row],[Pred3 UID]],Tasks[UID],0),-1))</f>
        <v>0</v>
      </c>
      <c r="CB46" s="41" t="n">
        <f aca="false">IF(N(Tasks[[#This Row],[Pred4 UID]])=0,0,IFERROR(MATCH(Tasks[[#This Row],[Pred4 UID]],Tasks[UID],0),-1))</f>
        <v>0</v>
      </c>
      <c r="CC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6" s="101" t="n">
        <f aca="false">IF(OR(Tasks[[#This Row],[_ConstraintCode]]=2,Tasks[[#This Row],[_ConstraintCode]]=3,Tasks[[#This Row],[_ConstraintCode]]=4,Tasks[[#This Row],[_ConstraintCode]]=6),Tasks[[#This Row],[_ConstraintStart]],0)</f>
        <v>0</v>
      </c>
      <c r="CF46" s="101" t="n">
        <f aca="false">IF(OR(Tasks[[#This Row],[_ConstraintCode]]=2,Tasks[[#This Row],[_ConstraintCode]]=3,Tasks[[#This Row],[_ConstraintCode]]=5,Tasks[[#This Row],[_ConstraintCode]]=7),Tasks[[#This Row],[_ConstraintStart]],2958465)</f>
        <v>2958465</v>
      </c>
      <c r="CG4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6" s="101" t="str">
        <f aca="false">IF(NOT(Tasks[[#This Row],[_IsLeaf]]=1),"",IF(N(Tasks[[#This Row],[Duration]])&lt;=0,Tasks[[#This Row],[_LeafCalcStart]],WORKDAY.INTL(Tasks[[#This Row],[_LeafCalcStart]],Tasks[[#This Row],[Duration]]-1,WorkWeek,Holidays)))</f>
        <v/>
      </c>
      <c r="CI4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6" s="41" t="n">
        <f aca="false">IF(NOT(Tasks[[#This Row],[_IsLeaf]]=1),0,IF(N(Tasks[[#This Row],[Actual Finish]])&gt;0,1,MIN(1,N(Tasks[[#This Row],[% Complete]]))))</f>
        <v>0</v>
      </c>
      <c r="CL46" s="41" t="n">
        <f aca="false">IF(OR(NOT(Tasks[[#This Row],[_IsLeaf]]=1),Tasks[[#This Row],[Resource]]=""),0,N(Tasks[[#This Row],[Duration]])*HoursPerDay*IF(Tasks[[#This Row],[Units]]="",DefaultUnits,Tasks[[#This Row],[Units]]))</f>
        <v>0</v>
      </c>
      <c r="CM46" s="41" t="n">
        <f aca="false">IF(Tasks[[#This Row],[_LeafWork]]=0,0,Tasks[[#This Row],[_LeafWork]]*IFERROR(INDEX(res_Rate,MATCH(Tasks[[#This Row],[Resource]],res_Name,0)),0))</f>
        <v>0</v>
      </c>
      <c r="CN46" s="41" t="n">
        <f aca="false">Tasks[[#This Row],[_LeafWork]]+IF(Tasks[[#This Row],[_IsLeaf]]=1,SUMIFS(asg_Work,asg_TaskUID,Tasks[[#This Row],[UID]],asg_Valid,1),0)</f>
        <v>0</v>
      </c>
      <c r="CO46" s="41" t="n">
        <f aca="false">Tasks[[#This Row],[_LeafCost]]+IF(Tasks[[#This Row],[_IsLeaf]]=1,SUMIFS(asg_Cost,asg_TaskUID,Tasks[[#This Row],[UID]],asg_Valid,1),0)</f>
        <v>0</v>
      </c>
      <c r="CP46" s="41" t="n">
        <f aca="false">IF(Tasks[[#This Row],[_LeafTotalCost]]=0,Tasks[[#This Row],[_LeafAC]],Tasks[[#This Row],[_LeafAC]]*Tasks[[#This Row],[_LeafCost]]/Tasks[[#This Row],[_LeafTotalCost]])</f>
        <v>0</v>
      </c>
      <c r="CQ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6" s="41" t="n">
        <f aca="false">IF(NOT(Tasks[[#This Row],[_IsLeaf]]=1),0,MAX(_xlfn.MAXIFS(Tasks[_Row],Tasks[Pred1 UID],Tasks[[#This Row],[UID]]),_xlfn.MAXIFS(Tasks[_Row],Tasks[Pred2 UID],Tasks[[#This Row],[UID]]),_xlfn.MAXIFS(Tasks[_Row],Tasks[Pred3 UID],Tasks[[#This Row],[UID]]),_xlfn.MAXIFS(Tasks[_Row],Tasks[Pred4 UID],Tasks[[#This Row],[UID]])))</f>
        <v>0</v>
      </c>
      <c r="CZ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6" s="101" t="str">
        <f aca="false">IF(NOT(Tasks[[#This Row],[_IsLeaf]]=1),"",IF(N(Tasks[[#This Row],[Duration]])&lt;=0,Tasks[[#This Row],[_LeafLateFinish]],WORKDAY.INTL(Tasks[[#This Row],[_LeafLateFinish]],-(Tasks[[#This Row],[Duration]]-1),WorkWeek,Holidays)))</f>
        <v/>
      </c>
      <c r="DC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6" s="100" t="b">
        <f aca="false">AND(Tasks[[#This Row],[_IsLeaf]]=1,Tasks[[#This Row],[_LeafProgress]]&lt;1,N(Tasks[[#This Row],[_LeafTotalSlack]])&lt;=CriticalSlackDays)</f>
        <v>0</v>
      </c>
      <c r="DE46" s="41" t="n">
        <f aca="false">IF(AND(Tasks[[#This Row],[_IsLeaf]]=1,Tasks[[#This Row],[_ConstraintCode]]=1,Tasks[[#This Row],[Mode]]&lt;&gt;"Manual",N(Tasks[[#This Row],[Actual Start]])=0),MAX(0,N(Tasks[[#This Row],[Free Slack]])),0)</f>
        <v>0</v>
      </c>
      <c r="DF46" s="101" t="str">
        <f aca="false">IF(NOT(Tasks[[#This Row],[_IsLeaf]]=1),"",IF(Tasks[[#This Row],[_AlapShift]]=0,Tasks[[#This Row],[_LeafCalcStart]],WORKDAY.INTL(Tasks[[#This Row],[_LeafCalcStart]],Tasks[[#This Row],[_AlapShift]],WorkWeek,Holidays)))</f>
        <v/>
      </c>
      <c r="DG46" s="101" t="str">
        <f aca="false">IF(NOT(Tasks[[#This Row],[_IsLeaf]]=1),"",IF(Tasks[[#This Row],[_AlapShift]]=0,Tasks[[#This Row],[_LeafCalcFinish]],WORKDAY.INTL(Tasks[[#This Row],[_LeafCalcFinish]],Tasks[[#This Row],[_AlapShift]],WorkWeek,Holidays)))</f>
        <v/>
      </c>
      <c r="DH46" s="101" t="str">
        <f aca="false">IF(NOT(Tasks[[#This Row],[_IsLeaf]]=1),"",IF(Tasks[[#This Row],[_AlapShift]]=0,Tasks[[#This Row],[_LeafFcstStart]],WORKDAY.INTL(Tasks[[#This Row],[_LeafFcstStart]],Tasks[[#This Row],[_AlapShift]],WorkWeek,Holidays)))</f>
        <v/>
      </c>
      <c r="DI46" s="101" t="str">
        <f aca="false">IF(NOT(Tasks[[#This Row],[_IsLeaf]]=1),"",IF(Tasks[[#This Row],[_AlapShift]]=0,Tasks[[#This Row],[_LeafFcstFinish]],WORKDAY.INTL(Tasks[[#This Row],[_LeafFcstFinish]],Tasks[[#This Row],[_AlapShift]],WorkWeek,Holidays)))</f>
        <v/>
      </c>
      <c r="DJ46" s="101" t="str">
        <f aca="false">IF(Tasks[[#This Row],[Task Name]]="","",IF(Tasks[[#This Row],[_IsSummary]],MIN(INDEX(Tasks[_ShownCalcStart],Tasks[[#This Row],[_Row]]+1):INDEX(Tasks[_ShownCalcStart],Tasks[[#This Row],[_Row]]+Tasks[[#This Row],[_Descendants]])),Tasks[[#This Row],[_ShownCalcStart]]))</f>
        <v/>
      </c>
      <c r="DK46" s="101" t="str">
        <f aca="false">IF(Tasks[[#This Row],[Task Name]]="","",IF(Tasks[[#This Row],[_IsSummary]],MAX(INDEX(Tasks[_ShownCalcFinish],Tasks[[#This Row],[_Row]]+1):INDEX(Tasks[_ShownCalcFinish],Tasks[[#This Row],[_Row]]+Tasks[[#This Row],[_Descendants]])),Tasks[[#This Row],[_ShownCalcFinish]]))</f>
        <v/>
      </c>
      <c r="D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6" s="41" t="n">
        <f aca="false">IF(AND(Tasks[[#This Row],[_IsLeaf]]=1,Tasks[[#This Row],[_LeafTotalWork]]&gt;0),NETWORKDAYS.INTL(ProjectStart,Tasks[[#This Row],[_ShownFcstStart]],WorkWeek,Holidays),0)</f>
        <v>0</v>
      </c>
      <c r="DY46" s="41" t="n">
        <f aca="false">IF(AND(Tasks[[#This Row],[_IsLeaf]]=1,Tasks[[#This Row],[_LeafTotalWork]]&gt;0),MAX(Tasks[[#This Row],[_StartWorkday]],NETWORKDAYS.INTL(ProjectStart,Tasks[[#This Row],[_ShownFcstFinish]],WorkWeek,Holidays)),0)</f>
        <v>0</v>
      </c>
      <c r="DZ46" s="41" t="n">
        <f aca="false">IF(AND(Tasks[[#This Row],[_IsLeaf]]=1,Tasks[[#This Row],[_LeafTotalWork]]&gt;0),Tasks[[#This Row],[_LeafWork]]/(Tasks[[#This Row],[_FinishWorkday]]-Tasks[[#This Row],[_StartWorkday]]+1),0)</f>
        <v>0</v>
      </c>
      <c r="EA46" s="41" t="n">
        <f aca="false">Tasks[[#This Row],[_WorkPerWorkday]]*(Tasks[[#This Row],[_StartWorkday]]-1)</f>
        <v>-0</v>
      </c>
      <c r="EB46" s="41" t="n">
        <f aca="false">IF(Tasks[[#This Row],[_IsLeaf]]=1,MAX(N(Tasks[[#This Row],[Duration]]),0.1),0)</f>
        <v>0</v>
      </c>
      <c r="EC46" s="41" t="n">
        <f aca="false">Tasks[[#This Row],[_WeightDur]]*Tasks[[#This Row],[_LeafProgress]]</f>
        <v>0</v>
      </c>
      <c r="ED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6" s="41" t="str">
        <f aca="false">IF(AND(Tasks[[#This Row],[_IsLeaf]]=1,N(Tasks[[#This Row],[Duration]])=0,Tasks[[#This Row],[_LeafProgress]]&lt;1),Tasks[[#This Row],[_ShownFcstFinish]]+Tasks[[#This Row],[_Row]]/100000,"")</f>
        <v/>
      </c>
      <c r="EF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6" s="41" t="n">
        <f aca="false">IF(NOT(Tasks[[#This Row],[_IsLeaf]]=1),0,IF(Tasks[[#This Row],[Baseline Cost]]="",Tasks[[#This Row],[_LeafTotalCost]],N(Tasks[[#This Row],[Baseline Cost]])))</f>
        <v>0</v>
      </c>
      <c r="EH46" s="41" t="n">
        <f aca="false">Tasks[[#This Row],[_LeafBudget]]*Tasks[[#This Row],[_PlannedPct]]</f>
        <v>0</v>
      </c>
      <c r="EI46" s="41" t="n">
        <f aca="false">Tasks[[#This Row],[_LeafBudget]]*Tasks[[#This Row],[_LeafProgress]]</f>
        <v>0</v>
      </c>
      <c r="EJ46" s="41" t="n">
        <f aca="false">IF(NOT(Tasks[[#This Row],[_IsLeaf]]=1),0,IF(Tasks[[#This Row],[Actual Cost]]="",Tasks[[#This Row],[_LeafTotalCost]]*Tasks[[#This Row],[_LeafProgress]],N(Tasks[[#This Row],[Actual Cost]])))</f>
        <v>0</v>
      </c>
      <c r="EK46" s="41" t="str">
        <f aca="false">IF(Tasks[[#This Row],[Task Name]]="","",LEFT(Tasks[[#This Row],[WBS]],FIND(".",Tasks[[#This Row],[WBS]]&amp;".")-1))</f>
        <v/>
      </c>
      <c r="EL46" s="41" t="str">
        <f aca="false">IF(AND(Tasks[[#This Row],[Task Name]]&lt;&gt;"",Tasks[[#This Row],[_Level]]=1),Tasks[[#This Row],[_Row]],"")</f>
        <v/>
      </c>
      <c r="EM46" s="41" t="str">
        <f aca="false">IF(AND(Tasks[[#This Row],[_IsLeaf]]=1,N(Tasks[[#This Row],[Duration]])=0),Tasks[[#This Row],[Planned Finish]]+Tasks[[#This Row],[_Row]]/100000,"")</f>
        <v/>
      </c>
      <c r="EN46" s="41" t="str">
        <f aca="false">IF(AND(Tasks[[#This Row],[_IsLeaf]]=1,Tasks[[#This Row],[_LeafProgress]]&lt;1,OR(N(Tasks[[#This Row],[Finish Var]])&gt;0,Tasks[[#This Row],[Status]]="Late Start")),MAX(0,Tasks[[#This Row],[Finish Var]])+1-Tasks[[#This Row],[_Row]]/1000000,"")</f>
        <v/>
      </c>
      <c r="EO46" s="41" t="str">
        <f aca="false">IF(AND(Tasks[[#This Row],[_IsLeaf]]=1,N(Tasks[[#This Row],[Actual Start]])=0,Tasks[[#This Row],[_ShownFcstStart]]&gt;=StatusDate,Tasks[[#This Row],[_ShownFcstStart]]&lt;=LookaheadEnd),Tasks[[#This Row],[_ShownFcstStart]]+Tasks[[#This Row],[_Row]]/100000,"")</f>
        <v/>
      </c>
      <c r="EP46" s="41" t="str">
        <f aca="false">IF(AND(Tasks[[#This Row],[_IsLeaf]]=1,Tasks[[#This Row],[_LeafProgress]]&lt;1,Tasks[[#This Row],[_ShownFcstFinish]]&gt;=StatusDate,Tasks[[#This Row],[_ShownFcstFinish]]&lt;=LookaheadEnd),Tasks[[#This Row],[_ShownFcstFinish]]+Tasks[[#This Row],[_Row]]/100000,"")</f>
        <v/>
      </c>
      <c r="EQ46" s="41" t="str">
        <f aca="false">IF(Tasks[[#This Row],[_LeafCritical]],Tasks[[#This Row],[_ShownFcstStart]]+Tasks[[#This Row],[_Row]]/100000,"")</f>
        <v/>
      </c>
      <c r="ER46" s="41" t="n">
        <f aca="false">Tasks[[#This Row],[_LeafWork]]*Tasks[[#This Row],[_LeafProgress]]</f>
        <v>0</v>
      </c>
      <c r="ES46" s="101" t="str">
        <f aca="false">IF(AND(Tasks[[#This Row],[_IsLeaf]]=1,Tasks[[#This Row],[_LeafProgress]]&gt;=1),IF(N(Tasks[[#This Row],[Actual Finish]])&gt;0,Tasks[[#This Row],[Actual Finish]],Tasks[[#This Row],[_ShownFcstFinish]]),"")</f>
        <v/>
      </c>
      <c r="ET46" s="41" t="n">
        <f aca="false">IF(Tasks[[#This Row],[_IsLeaf]]=1,N(Tasks[[#This Row],[Story Points]]),0)</f>
        <v>0</v>
      </c>
      <c r="EU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29"/>
      <c r="O47" s="29"/>
      <c r="P47" s="29"/>
      <c r="Q47" s="29"/>
      <c r="R47" s="29"/>
      <c r="S47" s="29"/>
      <c r="T47" s="30"/>
      <c r="U47" s="75"/>
      <c r="V47" s="75"/>
      <c r="W47" s="25" t="str">
        <f aca="false">IF(Tasks[[#This Row],[Task Name]]="","",IF(N(Tasks[[#This Row],[Baseline Start]])&gt;0,Tasks[[#This Row],[Baseline Start]],Tasks[[#This Row],[_CalcStart]]))</f>
        <v/>
      </c>
      <c r="X47" s="25" t="str">
        <f aca="false">IF(Tasks[[#This Row],[Task Name]]="","",IF(N(Tasks[[#This Row],[Baseline Finish]])&gt;0,Tasks[[#This Row],[Baseline Finish]],Tasks[[#This Row],[_CalcFinish]]))</f>
        <v/>
      </c>
      <c r="Y47" s="75"/>
      <c r="Z47" s="75"/>
      <c r="AA47" s="25" t="str">
        <f aca="false">IF(Tasks[[#This Row],[Task Name]]="","",IF(Tasks[[#This Row],[_IsSummary]],MIN(INDEX(Tasks[_ShownFcstStart],Tasks[[#This Row],[_Row]]+1):INDEX(Tasks[_ShownFcstStart],Tasks[[#This Row],[_Row]]+Tasks[[#This Row],[_Descendants]])),Tasks[[#This Row],[_ShownFcstStart]]))</f>
        <v/>
      </c>
      <c r="AB47" s="25" t="str">
        <f aca="false">IF(Tasks[[#This Row],[Task Name]]="","",IF(Tasks[[#This Row],[_IsSummary]],MAX(INDEX(Tasks[_ShownFcstFinish],Tasks[[#This Row],[_Row]]+1):INDEX(Tasks[_ShownFcstFinish],Tasks[[#This Row],[_Row]]+Tasks[[#This Row],[_Descendants]])),Tasks[[#This Row],[_ShownFcstFinish]]))</f>
        <v/>
      </c>
      <c r="AC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7" s="25" t="str">
        <f aca="false">IF(Tasks[[#This Row],[Task Name]]="","",IF(Tasks[[#This Row],[_IsSummary]],MIN(INDEX(Tasks[_LeafLateStart],Tasks[[#This Row],[_Row]]+1):INDEX(Tasks[_LeafLateStart],Tasks[[#This Row],[_Row]]+Tasks[[#This Row],[_Descendants]])),Tasks[[#This Row],[_LeafLateStart]]))</f>
        <v/>
      </c>
      <c r="AF47" s="25" t="str">
        <f aca="false">IF(Tasks[[#This Row],[Task Name]]="","",IF(Tasks[[#This Row],[_IsSummary]],MAX(INDEX(Tasks[_LeafLateFinish],Tasks[[#This Row],[_Row]]+1):INDEX(Tasks[_LeafLateFinish],Tasks[[#This Row],[_Row]]+Tasks[[#This Row],[_Descendants]])),Tasks[[#This Row],[_LeafLateFinish]]))</f>
        <v/>
      </c>
      <c r="AG47" s="28" t="str">
        <f aca="false">IF(Tasks[[#This Row],[Task Name]]="","",IF(Tasks[[#This Row],[_IsSummary]],MIN(INDEX(Tasks[_LeafTotalSlack],Tasks[[#This Row],[_Row]]+1):INDEX(Tasks[_LeafTotalSlack],Tasks[[#This Row],[_Row]]+Tasks[[#This Row],[_Descendants]])),Tasks[[#This Row],[_LeafTotalSlack]]))</f>
        <v/>
      </c>
      <c r="AH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7" s="28" t="str">
        <f aca="false">IF(Tasks[[#This Row],[Task Name]]="","",IF(IF(Tasks[[#This Row],[_IsSummary]],COUNTIF(INDEX(Tasks[_LeafCritical],Tasks[[#This Row],[_Row]]+1):INDEX(Tasks[_LeafCritical],Tasks[[#This Row],[_Row]]+Tasks[[#This Row],[_Descendants]]),TRUE())&gt;0,Tasks[[#This Row],[_LeafCritical]]),"Yes",""))</f>
        <v/>
      </c>
      <c r="AJ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7" s="89"/>
      <c r="AM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7" s="28" t="str">
        <f aca="false">IF(Tasks[[#This Row],[Task Name]]="","",IF(Tasks[[#This Row],[Progress]]&gt;=1,"Complete",IF(OR(N(Tasks[[#This Row],[Actual Start]])&gt;0,Tasks[[#This Row],[Progress]]&gt;0),IF(Tasks[[#This Row],[Finish Var]]&gt;0,"Behind","In Progress"),IF(Tasks[[#This Row],[Planned Start]]&lt;StatusDate,"Late Start","Not Started"))))</f>
        <v/>
      </c>
      <c r="AO47" s="30"/>
      <c r="AP47" s="89"/>
      <c r="AQ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7" s="96" t="str">
        <f aca="false">IF(Tasks[[#This Row],[Task Name]]="","",IF(Tasks[[#This Row],[_IsSummary]],SUM(INDEX(Tasks[_LeafTotalWork],Tasks[[#This Row],[_Row]]+1):INDEX(Tasks[_LeafTotalWork],Tasks[[#This Row],[_Row]]+Tasks[[#This Row],[_Descendants]])),Tasks[[#This Row],[_LeafTotalWork]]))</f>
        <v/>
      </c>
      <c r="AT47" s="97" t="str">
        <f aca="false">IF(Tasks[[#This Row],[Task Name]]="","",IF(Tasks[[#This Row],[_IsSummary]],SUM(INDEX(Tasks[_LeafTotalCost],Tasks[[#This Row],[_Row]]+1):INDEX(Tasks[_LeafTotalCost],Tasks[[#This Row],[_Row]]+Tasks[[#This Row],[_Descendants]])),Tasks[[#This Row],[_LeafTotalCost]]))</f>
        <v/>
      </c>
      <c r="AU47" s="98"/>
      <c r="AV47" s="29"/>
      <c r="AW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7" s="83"/>
      <c r="AY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7" s="30"/>
      <c r="BA47" s="25" t="str">
        <f aca="false">IF(Tasks[[#This Row],[Task Name]]="","",Tasks[[#This Row],[Forecast Start]])</f>
        <v/>
      </c>
      <c r="BB47" s="25" t="str">
        <f aca="false">IF(Tasks[[#This Row],[Task Name]]="","",Tasks[[#This Row],[Forecast Finish]])</f>
        <v/>
      </c>
      <c r="BC47" s="28" t="str">
        <f aca="false">IF(Tasks[[#This Row],[Task Name]]="","",IF(Tasks[[#This Row],[_IsSummary]],NETWORKDAYS.INTL(Tasks[[#This Row],[Forecast Start]],Tasks[[#This Row],[Forecast Finish]],WorkWeek,Holidays),N(Tasks[[#This Row],[Duration]])))</f>
        <v/>
      </c>
      <c r="BD47" s="96" t="str">
        <f aca="false">IF(Tasks[[#This Row],[Task Name]]="","",Tasks[[#This Row],[Work]])</f>
        <v/>
      </c>
      <c r="BE47" s="97" t="str">
        <f aca="false">IF(Tasks[[#This Row],[Task Name]]="","",Tasks[[#This Row],[Cost]])</f>
        <v/>
      </c>
      <c r="BF47" s="75"/>
      <c r="BG47" s="75"/>
      <c r="BH47" s="29"/>
      <c r="BI47" s="99"/>
      <c r="BJ47" s="98"/>
      <c r="BK47" s="28" t="str">
        <f aca="false">IF(OR(Tasks[[#This Row],[Task Name]]="",Tasks[[#This Row],[Baseline Duration]]=""),"",Tasks[[#This Row],[BL Source Duration]]-N(Tasks[[#This Row],[Baseline Duration]]))</f>
        <v/>
      </c>
      <c r="BL47" s="96" t="str">
        <f aca="false">IF(OR(Tasks[[#This Row],[Task Name]]="",Tasks[[#This Row],[Baseline Work]]=""),"",Tasks[[#This Row],[Work]]-N(Tasks[[#This Row],[Baseline Work]]))</f>
        <v/>
      </c>
      <c r="BM47" s="97" t="str">
        <f aca="false">IF(OR(Tasks[[#This Row],[Task Name]]="",Tasks[[#This Row],[Baseline Cost]]=""),"",Tasks[[#This Row],[Cost]]-N(Tasks[[#This Row],[Baseline Cost]]))</f>
        <v/>
      </c>
      <c r="BN47" s="97" t="str">
        <f aca="false">IF(Tasks[[#This Row],[Task Name]]="","",IF(Tasks[[#This Row],[_IsSummary]],SUM(INDEX(Tasks[_LeafBudget],Tasks[[#This Row],[_Row]]+1):INDEX(Tasks[_LeafBudget],Tasks[[#This Row],[_Row]]+Tasks[[#This Row],[_Descendants]])),Tasks[[#This Row],[_LeafBudget]]))</f>
        <v/>
      </c>
      <c r="BO47" s="97" t="str">
        <f aca="false">IF(Tasks[[#This Row],[Task Name]]="","",IF(Tasks[[#This Row],[_IsSummary]],SUM(INDEX(Tasks[_LeafPV],Tasks[[#This Row],[_Row]]+1):INDEX(Tasks[_LeafPV],Tasks[[#This Row],[_Row]]+Tasks[[#This Row],[_Descendants]])),Tasks[[#This Row],[_LeafPV]]))</f>
        <v/>
      </c>
      <c r="BP47" s="97" t="str">
        <f aca="false">IF(Tasks[[#This Row],[Task Name]]="","",IF(Tasks[[#This Row],[_IsSummary]],SUM(INDEX(Tasks[_LeafEV],Tasks[[#This Row],[_Row]]+1):INDEX(Tasks[_LeafEV],Tasks[[#This Row],[_Row]]+Tasks[[#This Row],[_Descendants]])),Tasks[[#This Row],[_LeafEV]]))</f>
        <v/>
      </c>
      <c r="BQ47" s="97" t="str">
        <f aca="false">IF(Tasks[[#This Row],[Task Name]]="","",IF(Tasks[[#This Row],[_IsSummary]],SUM(INDEX(Tasks[_LeafAC],Tasks[[#This Row],[_Row]]+1):INDEX(Tasks[_LeafAC],Tasks[[#This Row],[_Row]]+Tasks[[#This Row],[_Descendants]])),Tasks[[#This Row],[_LeafAC]]))</f>
        <v/>
      </c>
      <c r="BR47" s="41" t="str">
        <f aca="false">IF(Tasks[[#This Row],[Task Name]]="","",MAX(1,N(Tasks[[#This Row],[Level]])))</f>
        <v/>
      </c>
      <c r="BS47" s="41" t="n">
        <f aca="false">ROW()-ROW(Tasks[[#Headers],[ID]])</f>
        <v>42</v>
      </c>
      <c r="BT47" s="41" t="n">
        <f aca="false">IF(OR(Tasks[[#This Row],[Task Name]]="",Tasks[[#This Row],[_Level]]&lt;=1),0,IFERROR(LOOKUP(2,1/(Tasks[[#Headers],[_Level]]:Tasks[[#This Row],[_Level]]=Tasks[[#This Row],[_Level]]-1),ROW(Tasks[[#Headers],[_Level]]:Tasks[[#This Row],[_Level]])),0))</f>
        <v>0</v>
      </c>
      <c r="BU47" s="41" t="n">
        <f aca="false">IFERROR(N(INDEX(Tasks[_Level],Tasks[[#This Row],[_Row]]+1)),0)</f>
        <v>0</v>
      </c>
      <c r="BV47" s="100" t="b">
        <f aca="false">AND(Tasks[[#This Row],[Task Name]]&lt;&gt;"",Tasks[[#This Row],[_NextLevel]]&gt;Tasks[[#This Row],[_Level]])</f>
        <v>0</v>
      </c>
      <c r="BW47" s="41" t="n">
        <f aca="false">IF(Tasks[[#This Row],[_IsSummary]],COUNTIF(Tasks[WBS],Tasks[[#This Row],[WBS]]&amp;".*"),0)</f>
        <v>0</v>
      </c>
      <c r="BX47" s="41" t="n">
        <f aca="false">IF(AND(Tasks[[#This Row],[Task Name]]&lt;&gt;"",NOT(Tasks[[#This Row],[_IsSummary]])),1,0)</f>
        <v>0</v>
      </c>
      <c r="BY47" s="41" t="n">
        <f aca="false">IF(N(Tasks[[#This Row],[Pred1 UID]])=0,0,IFERROR(MATCH(Tasks[[#This Row],[Pred1 UID]],Tasks[UID],0),-1))</f>
        <v>0</v>
      </c>
      <c r="BZ47" s="41" t="n">
        <f aca="false">IF(N(Tasks[[#This Row],[Pred2 UID]])=0,0,IFERROR(MATCH(Tasks[[#This Row],[Pred2 UID]],Tasks[UID],0),-1))</f>
        <v>0</v>
      </c>
      <c r="CA47" s="41" t="n">
        <f aca="false">IF(N(Tasks[[#This Row],[Pred3 UID]])=0,0,IFERROR(MATCH(Tasks[[#This Row],[Pred3 UID]],Tasks[UID],0),-1))</f>
        <v>0</v>
      </c>
      <c r="CB47" s="41" t="n">
        <f aca="false">IF(N(Tasks[[#This Row],[Pred4 UID]])=0,0,IFERROR(MATCH(Tasks[[#This Row],[Pred4 UID]],Tasks[UID],0),-1))</f>
        <v>0</v>
      </c>
      <c r="CC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7" s="101" t="n">
        <f aca="false">IF(OR(Tasks[[#This Row],[_ConstraintCode]]=2,Tasks[[#This Row],[_ConstraintCode]]=3,Tasks[[#This Row],[_ConstraintCode]]=4,Tasks[[#This Row],[_ConstraintCode]]=6),Tasks[[#This Row],[_ConstraintStart]],0)</f>
        <v>0</v>
      </c>
      <c r="CF47" s="101" t="n">
        <f aca="false">IF(OR(Tasks[[#This Row],[_ConstraintCode]]=2,Tasks[[#This Row],[_ConstraintCode]]=3,Tasks[[#This Row],[_ConstraintCode]]=5,Tasks[[#This Row],[_ConstraintCode]]=7),Tasks[[#This Row],[_ConstraintStart]],2958465)</f>
        <v>2958465</v>
      </c>
      <c r="CG4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7" s="101" t="str">
        <f aca="false">IF(NOT(Tasks[[#This Row],[_IsLeaf]]=1),"",IF(N(Tasks[[#This Row],[Duration]])&lt;=0,Tasks[[#This Row],[_LeafCalcStart]],WORKDAY.INTL(Tasks[[#This Row],[_LeafCalcStart]],Tasks[[#This Row],[Duration]]-1,WorkWeek,Holidays)))</f>
        <v/>
      </c>
      <c r="CI4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7" s="41" t="n">
        <f aca="false">IF(NOT(Tasks[[#This Row],[_IsLeaf]]=1),0,IF(N(Tasks[[#This Row],[Actual Finish]])&gt;0,1,MIN(1,N(Tasks[[#This Row],[% Complete]]))))</f>
        <v>0</v>
      </c>
      <c r="CL47" s="41" t="n">
        <f aca="false">IF(OR(NOT(Tasks[[#This Row],[_IsLeaf]]=1),Tasks[[#This Row],[Resource]]=""),0,N(Tasks[[#This Row],[Duration]])*HoursPerDay*IF(Tasks[[#This Row],[Units]]="",DefaultUnits,Tasks[[#This Row],[Units]]))</f>
        <v>0</v>
      </c>
      <c r="CM47" s="41" t="n">
        <f aca="false">IF(Tasks[[#This Row],[_LeafWork]]=0,0,Tasks[[#This Row],[_LeafWork]]*IFERROR(INDEX(res_Rate,MATCH(Tasks[[#This Row],[Resource]],res_Name,0)),0))</f>
        <v>0</v>
      </c>
      <c r="CN47" s="41" t="n">
        <f aca="false">Tasks[[#This Row],[_LeafWork]]+IF(Tasks[[#This Row],[_IsLeaf]]=1,SUMIFS(asg_Work,asg_TaskUID,Tasks[[#This Row],[UID]],asg_Valid,1),0)</f>
        <v>0</v>
      </c>
      <c r="CO47" s="41" t="n">
        <f aca="false">Tasks[[#This Row],[_LeafCost]]+IF(Tasks[[#This Row],[_IsLeaf]]=1,SUMIFS(asg_Cost,asg_TaskUID,Tasks[[#This Row],[UID]],asg_Valid,1),0)</f>
        <v>0</v>
      </c>
      <c r="CP47" s="41" t="n">
        <f aca="false">IF(Tasks[[#This Row],[_LeafTotalCost]]=0,Tasks[[#This Row],[_LeafAC]],Tasks[[#This Row],[_LeafAC]]*Tasks[[#This Row],[_LeafCost]]/Tasks[[#This Row],[_LeafTotalCost]])</f>
        <v>0</v>
      </c>
      <c r="CQ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7" s="41" t="n">
        <f aca="false">IF(NOT(Tasks[[#This Row],[_IsLeaf]]=1),0,MAX(_xlfn.MAXIFS(Tasks[_Row],Tasks[Pred1 UID],Tasks[[#This Row],[UID]]),_xlfn.MAXIFS(Tasks[_Row],Tasks[Pred2 UID],Tasks[[#This Row],[UID]]),_xlfn.MAXIFS(Tasks[_Row],Tasks[Pred3 UID],Tasks[[#This Row],[UID]]),_xlfn.MAXIFS(Tasks[_Row],Tasks[Pred4 UID],Tasks[[#This Row],[UID]])))</f>
        <v>0</v>
      </c>
      <c r="CZ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7" s="101" t="str">
        <f aca="false">IF(NOT(Tasks[[#This Row],[_IsLeaf]]=1),"",IF(N(Tasks[[#This Row],[Duration]])&lt;=0,Tasks[[#This Row],[_LeafLateFinish]],WORKDAY.INTL(Tasks[[#This Row],[_LeafLateFinish]],-(Tasks[[#This Row],[Duration]]-1),WorkWeek,Holidays)))</f>
        <v/>
      </c>
      <c r="DC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7" s="100" t="b">
        <f aca="false">AND(Tasks[[#This Row],[_IsLeaf]]=1,Tasks[[#This Row],[_LeafProgress]]&lt;1,N(Tasks[[#This Row],[_LeafTotalSlack]])&lt;=CriticalSlackDays)</f>
        <v>0</v>
      </c>
      <c r="DE47" s="41" t="n">
        <f aca="false">IF(AND(Tasks[[#This Row],[_IsLeaf]]=1,Tasks[[#This Row],[_ConstraintCode]]=1,Tasks[[#This Row],[Mode]]&lt;&gt;"Manual",N(Tasks[[#This Row],[Actual Start]])=0),MAX(0,N(Tasks[[#This Row],[Free Slack]])),0)</f>
        <v>0</v>
      </c>
      <c r="DF47" s="101" t="str">
        <f aca="false">IF(NOT(Tasks[[#This Row],[_IsLeaf]]=1),"",IF(Tasks[[#This Row],[_AlapShift]]=0,Tasks[[#This Row],[_LeafCalcStart]],WORKDAY.INTL(Tasks[[#This Row],[_LeafCalcStart]],Tasks[[#This Row],[_AlapShift]],WorkWeek,Holidays)))</f>
        <v/>
      </c>
      <c r="DG47" s="101" t="str">
        <f aca="false">IF(NOT(Tasks[[#This Row],[_IsLeaf]]=1),"",IF(Tasks[[#This Row],[_AlapShift]]=0,Tasks[[#This Row],[_LeafCalcFinish]],WORKDAY.INTL(Tasks[[#This Row],[_LeafCalcFinish]],Tasks[[#This Row],[_AlapShift]],WorkWeek,Holidays)))</f>
        <v/>
      </c>
      <c r="DH47" s="101" t="str">
        <f aca="false">IF(NOT(Tasks[[#This Row],[_IsLeaf]]=1),"",IF(Tasks[[#This Row],[_AlapShift]]=0,Tasks[[#This Row],[_LeafFcstStart]],WORKDAY.INTL(Tasks[[#This Row],[_LeafFcstStart]],Tasks[[#This Row],[_AlapShift]],WorkWeek,Holidays)))</f>
        <v/>
      </c>
      <c r="DI47" s="101" t="str">
        <f aca="false">IF(NOT(Tasks[[#This Row],[_IsLeaf]]=1),"",IF(Tasks[[#This Row],[_AlapShift]]=0,Tasks[[#This Row],[_LeafFcstFinish]],WORKDAY.INTL(Tasks[[#This Row],[_LeafFcstFinish]],Tasks[[#This Row],[_AlapShift]],WorkWeek,Holidays)))</f>
        <v/>
      </c>
      <c r="DJ47" s="101" t="str">
        <f aca="false">IF(Tasks[[#This Row],[Task Name]]="","",IF(Tasks[[#This Row],[_IsSummary]],MIN(INDEX(Tasks[_ShownCalcStart],Tasks[[#This Row],[_Row]]+1):INDEX(Tasks[_ShownCalcStart],Tasks[[#This Row],[_Row]]+Tasks[[#This Row],[_Descendants]])),Tasks[[#This Row],[_ShownCalcStart]]))</f>
        <v/>
      </c>
      <c r="DK47" s="101" t="str">
        <f aca="false">IF(Tasks[[#This Row],[Task Name]]="","",IF(Tasks[[#This Row],[_IsSummary]],MAX(INDEX(Tasks[_ShownCalcFinish],Tasks[[#This Row],[_Row]]+1):INDEX(Tasks[_ShownCalcFinish],Tasks[[#This Row],[_Row]]+Tasks[[#This Row],[_Descendants]])),Tasks[[#This Row],[_ShownCalcFinish]]))</f>
        <v/>
      </c>
      <c r="D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7" s="41" t="n">
        <f aca="false">IF(AND(Tasks[[#This Row],[_IsLeaf]]=1,Tasks[[#This Row],[_LeafTotalWork]]&gt;0),NETWORKDAYS.INTL(ProjectStart,Tasks[[#This Row],[_ShownFcstStart]],WorkWeek,Holidays),0)</f>
        <v>0</v>
      </c>
      <c r="DY47" s="41" t="n">
        <f aca="false">IF(AND(Tasks[[#This Row],[_IsLeaf]]=1,Tasks[[#This Row],[_LeafTotalWork]]&gt;0),MAX(Tasks[[#This Row],[_StartWorkday]],NETWORKDAYS.INTL(ProjectStart,Tasks[[#This Row],[_ShownFcstFinish]],WorkWeek,Holidays)),0)</f>
        <v>0</v>
      </c>
      <c r="DZ47" s="41" t="n">
        <f aca="false">IF(AND(Tasks[[#This Row],[_IsLeaf]]=1,Tasks[[#This Row],[_LeafTotalWork]]&gt;0),Tasks[[#This Row],[_LeafWork]]/(Tasks[[#This Row],[_FinishWorkday]]-Tasks[[#This Row],[_StartWorkday]]+1),0)</f>
        <v>0</v>
      </c>
      <c r="EA47" s="41" t="n">
        <f aca="false">Tasks[[#This Row],[_WorkPerWorkday]]*(Tasks[[#This Row],[_StartWorkday]]-1)</f>
        <v>-0</v>
      </c>
      <c r="EB47" s="41" t="n">
        <f aca="false">IF(Tasks[[#This Row],[_IsLeaf]]=1,MAX(N(Tasks[[#This Row],[Duration]]),0.1),0)</f>
        <v>0</v>
      </c>
      <c r="EC47" s="41" t="n">
        <f aca="false">Tasks[[#This Row],[_WeightDur]]*Tasks[[#This Row],[_LeafProgress]]</f>
        <v>0</v>
      </c>
      <c r="ED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7" s="41" t="str">
        <f aca="false">IF(AND(Tasks[[#This Row],[_IsLeaf]]=1,N(Tasks[[#This Row],[Duration]])=0,Tasks[[#This Row],[_LeafProgress]]&lt;1),Tasks[[#This Row],[_ShownFcstFinish]]+Tasks[[#This Row],[_Row]]/100000,"")</f>
        <v/>
      </c>
      <c r="EF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7" s="41" t="n">
        <f aca="false">IF(NOT(Tasks[[#This Row],[_IsLeaf]]=1),0,IF(Tasks[[#This Row],[Baseline Cost]]="",Tasks[[#This Row],[_LeafTotalCost]],N(Tasks[[#This Row],[Baseline Cost]])))</f>
        <v>0</v>
      </c>
      <c r="EH47" s="41" t="n">
        <f aca="false">Tasks[[#This Row],[_LeafBudget]]*Tasks[[#This Row],[_PlannedPct]]</f>
        <v>0</v>
      </c>
      <c r="EI47" s="41" t="n">
        <f aca="false">Tasks[[#This Row],[_LeafBudget]]*Tasks[[#This Row],[_LeafProgress]]</f>
        <v>0</v>
      </c>
      <c r="EJ47" s="41" t="n">
        <f aca="false">IF(NOT(Tasks[[#This Row],[_IsLeaf]]=1),0,IF(Tasks[[#This Row],[Actual Cost]]="",Tasks[[#This Row],[_LeafTotalCost]]*Tasks[[#This Row],[_LeafProgress]],N(Tasks[[#This Row],[Actual Cost]])))</f>
        <v>0</v>
      </c>
      <c r="EK47" s="41" t="str">
        <f aca="false">IF(Tasks[[#This Row],[Task Name]]="","",LEFT(Tasks[[#This Row],[WBS]],FIND(".",Tasks[[#This Row],[WBS]]&amp;".")-1))</f>
        <v/>
      </c>
      <c r="EL47" s="41" t="str">
        <f aca="false">IF(AND(Tasks[[#This Row],[Task Name]]&lt;&gt;"",Tasks[[#This Row],[_Level]]=1),Tasks[[#This Row],[_Row]],"")</f>
        <v/>
      </c>
      <c r="EM47" s="41" t="str">
        <f aca="false">IF(AND(Tasks[[#This Row],[_IsLeaf]]=1,N(Tasks[[#This Row],[Duration]])=0),Tasks[[#This Row],[Planned Finish]]+Tasks[[#This Row],[_Row]]/100000,"")</f>
        <v/>
      </c>
      <c r="EN47" s="41" t="str">
        <f aca="false">IF(AND(Tasks[[#This Row],[_IsLeaf]]=1,Tasks[[#This Row],[_LeafProgress]]&lt;1,OR(N(Tasks[[#This Row],[Finish Var]])&gt;0,Tasks[[#This Row],[Status]]="Late Start")),MAX(0,Tasks[[#This Row],[Finish Var]])+1-Tasks[[#This Row],[_Row]]/1000000,"")</f>
        <v/>
      </c>
      <c r="EO47" s="41" t="str">
        <f aca="false">IF(AND(Tasks[[#This Row],[_IsLeaf]]=1,N(Tasks[[#This Row],[Actual Start]])=0,Tasks[[#This Row],[_ShownFcstStart]]&gt;=StatusDate,Tasks[[#This Row],[_ShownFcstStart]]&lt;=LookaheadEnd),Tasks[[#This Row],[_ShownFcstStart]]+Tasks[[#This Row],[_Row]]/100000,"")</f>
        <v/>
      </c>
      <c r="EP47" s="41" t="str">
        <f aca="false">IF(AND(Tasks[[#This Row],[_IsLeaf]]=1,Tasks[[#This Row],[_LeafProgress]]&lt;1,Tasks[[#This Row],[_ShownFcstFinish]]&gt;=StatusDate,Tasks[[#This Row],[_ShownFcstFinish]]&lt;=LookaheadEnd),Tasks[[#This Row],[_ShownFcstFinish]]+Tasks[[#This Row],[_Row]]/100000,"")</f>
        <v/>
      </c>
      <c r="EQ47" s="41" t="str">
        <f aca="false">IF(Tasks[[#This Row],[_LeafCritical]],Tasks[[#This Row],[_ShownFcstStart]]+Tasks[[#This Row],[_Row]]/100000,"")</f>
        <v/>
      </c>
      <c r="ER47" s="41" t="n">
        <f aca="false">Tasks[[#This Row],[_LeafWork]]*Tasks[[#This Row],[_LeafProgress]]</f>
        <v>0</v>
      </c>
      <c r="ES47" s="101" t="str">
        <f aca="false">IF(AND(Tasks[[#This Row],[_IsLeaf]]=1,Tasks[[#This Row],[_LeafProgress]]&gt;=1),IF(N(Tasks[[#This Row],[Actual Finish]])&gt;0,Tasks[[#This Row],[Actual Finish]],Tasks[[#This Row],[_ShownFcstFinish]]),"")</f>
        <v/>
      </c>
      <c r="ET47" s="41" t="n">
        <f aca="false">IF(Tasks[[#This Row],[_IsLeaf]]=1,N(Tasks[[#This Row],[Story Points]]),0)</f>
        <v>0</v>
      </c>
      <c r="EU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29"/>
      <c r="O48" s="29"/>
      <c r="P48" s="29"/>
      <c r="Q48" s="29"/>
      <c r="R48" s="29"/>
      <c r="S48" s="29"/>
      <c r="T48" s="30"/>
      <c r="U48" s="75"/>
      <c r="V48" s="75"/>
      <c r="W48" s="25" t="str">
        <f aca="false">IF(Tasks[[#This Row],[Task Name]]="","",IF(N(Tasks[[#This Row],[Baseline Start]])&gt;0,Tasks[[#This Row],[Baseline Start]],Tasks[[#This Row],[_CalcStart]]))</f>
        <v/>
      </c>
      <c r="X48" s="25" t="str">
        <f aca="false">IF(Tasks[[#This Row],[Task Name]]="","",IF(N(Tasks[[#This Row],[Baseline Finish]])&gt;0,Tasks[[#This Row],[Baseline Finish]],Tasks[[#This Row],[_CalcFinish]]))</f>
        <v/>
      </c>
      <c r="Y48" s="75"/>
      <c r="Z48" s="75"/>
      <c r="AA48" s="25" t="str">
        <f aca="false">IF(Tasks[[#This Row],[Task Name]]="","",IF(Tasks[[#This Row],[_IsSummary]],MIN(INDEX(Tasks[_ShownFcstStart],Tasks[[#This Row],[_Row]]+1):INDEX(Tasks[_ShownFcstStart],Tasks[[#This Row],[_Row]]+Tasks[[#This Row],[_Descendants]])),Tasks[[#This Row],[_ShownFcstStart]]))</f>
        <v/>
      </c>
      <c r="AB48" s="25" t="str">
        <f aca="false">IF(Tasks[[#This Row],[Task Name]]="","",IF(Tasks[[#This Row],[_IsSummary]],MAX(INDEX(Tasks[_ShownFcstFinish],Tasks[[#This Row],[_Row]]+1):INDEX(Tasks[_ShownFcstFinish],Tasks[[#This Row],[_Row]]+Tasks[[#This Row],[_Descendants]])),Tasks[[#This Row],[_ShownFcstFinish]]))</f>
        <v/>
      </c>
      <c r="AC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8" s="25" t="str">
        <f aca="false">IF(Tasks[[#This Row],[Task Name]]="","",IF(Tasks[[#This Row],[_IsSummary]],MIN(INDEX(Tasks[_LeafLateStart],Tasks[[#This Row],[_Row]]+1):INDEX(Tasks[_LeafLateStart],Tasks[[#This Row],[_Row]]+Tasks[[#This Row],[_Descendants]])),Tasks[[#This Row],[_LeafLateStart]]))</f>
        <v/>
      </c>
      <c r="AF48" s="25" t="str">
        <f aca="false">IF(Tasks[[#This Row],[Task Name]]="","",IF(Tasks[[#This Row],[_IsSummary]],MAX(INDEX(Tasks[_LeafLateFinish],Tasks[[#This Row],[_Row]]+1):INDEX(Tasks[_LeafLateFinish],Tasks[[#This Row],[_Row]]+Tasks[[#This Row],[_Descendants]])),Tasks[[#This Row],[_LeafLateFinish]]))</f>
        <v/>
      </c>
      <c r="AG48" s="28" t="str">
        <f aca="false">IF(Tasks[[#This Row],[Task Name]]="","",IF(Tasks[[#This Row],[_IsSummary]],MIN(INDEX(Tasks[_LeafTotalSlack],Tasks[[#This Row],[_Row]]+1):INDEX(Tasks[_LeafTotalSlack],Tasks[[#This Row],[_Row]]+Tasks[[#This Row],[_Descendants]])),Tasks[[#This Row],[_LeafTotalSlack]]))</f>
        <v/>
      </c>
      <c r="AH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8" s="28" t="str">
        <f aca="false">IF(Tasks[[#This Row],[Task Name]]="","",IF(IF(Tasks[[#This Row],[_IsSummary]],COUNTIF(INDEX(Tasks[_LeafCritical],Tasks[[#This Row],[_Row]]+1):INDEX(Tasks[_LeafCritical],Tasks[[#This Row],[_Row]]+Tasks[[#This Row],[_Descendants]]),TRUE())&gt;0,Tasks[[#This Row],[_LeafCritical]]),"Yes",""))</f>
        <v/>
      </c>
      <c r="AJ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8" s="89"/>
      <c r="AM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8" s="28" t="str">
        <f aca="false">IF(Tasks[[#This Row],[Task Name]]="","",IF(Tasks[[#This Row],[Progress]]&gt;=1,"Complete",IF(OR(N(Tasks[[#This Row],[Actual Start]])&gt;0,Tasks[[#This Row],[Progress]]&gt;0),IF(Tasks[[#This Row],[Finish Var]]&gt;0,"Behind","In Progress"),IF(Tasks[[#This Row],[Planned Start]]&lt;StatusDate,"Late Start","Not Started"))))</f>
        <v/>
      </c>
      <c r="AO48" s="30"/>
      <c r="AP48" s="89"/>
      <c r="AQ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8" s="96" t="str">
        <f aca="false">IF(Tasks[[#This Row],[Task Name]]="","",IF(Tasks[[#This Row],[_IsSummary]],SUM(INDEX(Tasks[_LeafTotalWork],Tasks[[#This Row],[_Row]]+1):INDEX(Tasks[_LeafTotalWork],Tasks[[#This Row],[_Row]]+Tasks[[#This Row],[_Descendants]])),Tasks[[#This Row],[_LeafTotalWork]]))</f>
        <v/>
      </c>
      <c r="AT48" s="97" t="str">
        <f aca="false">IF(Tasks[[#This Row],[Task Name]]="","",IF(Tasks[[#This Row],[_IsSummary]],SUM(INDEX(Tasks[_LeafTotalCost],Tasks[[#This Row],[_Row]]+1):INDEX(Tasks[_LeafTotalCost],Tasks[[#This Row],[_Row]]+Tasks[[#This Row],[_Descendants]])),Tasks[[#This Row],[_LeafTotalCost]]))</f>
        <v/>
      </c>
      <c r="AU48" s="98"/>
      <c r="AV48" s="29"/>
      <c r="AW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8" s="83"/>
      <c r="AY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8" s="30"/>
      <c r="BA48" s="25" t="str">
        <f aca="false">IF(Tasks[[#This Row],[Task Name]]="","",Tasks[[#This Row],[Forecast Start]])</f>
        <v/>
      </c>
      <c r="BB48" s="25" t="str">
        <f aca="false">IF(Tasks[[#This Row],[Task Name]]="","",Tasks[[#This Row],[Forecast Finish]])</f>
        <v/>
      </c>
      <c r="BC48" s="28" t="str">
        <f aca="false">IF(Tasks[[#This Row],[Task Name]]="","",IF(Tasks[[#This Row],[_IsSummary]],NETWORKDAYS.INTL(Tasks[[#This Row],[Forecast Start]],Tasks[[#This Row],[Forecast Finish]],WorkWeek,Holidays),N(Tasks[[#This Row],[Duration]])))</f>
        <v/>
      </c>
      <c r="BD48" s="96" t="str">
        <f aca="false">IF(Tasks[[#This Row],[Task Name]]="","",Tasks[[#This Row],[Work]])</f>
        <v/>
      </c>
      <c r="BE48" s="97" t="str">
        <f aca="false">IF(Tasks[[#This Row],[Task Name]]="","",Tasks[[#This Row],[Cost]])</f>
        <v/>
      </c>
      <c r="BF48" s="75"/>
      <c r="BG48" s="75"/>
      <c r="BH48" s="29"/>
      <c r="BI48" s="99"/>
      <c r="BJ48" s="98"/>
      <c r="BK48" s="28" t="str">
        <f aca="false">IF(OR(Tasks[[#This Row],[Task Name]]="",Tasks[[#This Row],[Baseline Duration]]=""),"",Tasks[[#This Row],[BL Source Duration]]-N(Tasks[[#This Row],[Baseline Duration]]))</f>
        <v/>
      </c>
      <c r="BL48" s="96" t="str">
        <f aca="false">IF(OR(Tasks[[#This Row],[Task Name]]="",Tasks[[#This Row],[Baseline Work]]=""),"",Tasks[[#This Row],[Work]]-N(Tasks[[#This Row],[Baseline Work]]))</f>
        <v/>
      </c>
      <c r="BM48" s="97" t="str">
        <f aca="false">IF(OR(Tasks[[#This Row],[Task Name]]="",Tasks[[#This Row],[Baseline Cost]]=""),"",Tasks[[#This Row],[Cost]]-N(Tasks[[#This Row],[Baseline Cost]]))</f>
        <v/>
      </c>
      <c r="BN48" s="97" t="str">
        <f aca="false">IF(Tasks[[#This Row],[Task Name]]="","",IF(Tasks[[#This Row],[_IsSummary]],SUM(INDEX(Tasks[_LeafBudget],Tasks[[#This Row],[_Row]]+1):INDEX(Tasks[_LeafBudget],Tasks[[#This Row],[_Row]]+Tasks[[#This Row],[_Descendants]])),Tasks[[#This Row],[_LeafBudget]]))</f>
        <v/>
      </c>
      <c r="BO48" s="97" t="str">
        <f aca="false">IF(Tasks[[#This Row],[Task Name]]="","",IF(Tasks[[#This Row],[_IsSummary]],SUM(INDEX(Tasks[_LeafPV],Tasks[[#This Row],[_Row]]+1):INDEX(Tasks[_LeafPV],Tasks[[#This Row],[_Row]]+Tasks[[#This Row],[_Descendants]])),Tasks[[#This Row],[_LeafPV]]))</f>
        <v/>
      </c>
      <c r="BP48" s="97" t="str">
        <f aca="false">IF(Tasks[[#This Row],[Task Name]]="","",IF(Tasks[[#This Row],[_IsSummary]],SUM(INDEX(Tasks[_LeafEV],Tasks[[#This Row],[_Row]]+1):INDEX(Tasks[_LeafEV],Tasks[[#This Row],[_Row]]+Tasks[[#This Row],[_Descendants]])),Tasks[[#This Row],[_LeafEV]]))</f>
        <v/>
      </c>
      <c r="BQ48" s="97" t="str">
        <f aca="false">IF(Tasks[[#This Row],[Task Name]]="","",IF(Tasks[[#This Row],[_IsSummary]],SUM(INDEX(Tasks[_LeafAC],Tasks[[#This Row],[_Row]]+1):INDEX(Tasks[_LeafAC],Tasks[[#This Row],[_Row]]+Tasks[[#This Row],[_Descendants]])),Tasks[[#This Row],[_LeafAC]]))</f>
        <v/>
      </c>
      <c r="BR48" s="41" t="str">
        <f aca="false">IF(Tasks[[#This Row],[Task Name]]="","",MAX(1,N(Tasks[[#This Row],[Level]])))</f>
        <v/>
      </c>
      <c r="BS48" s="41" t="n">
        <f aca="false">ROW()-ROW(Tasks[[#Headers],[ID]])</f>
        <v>43</v>
      </c>
      <c r="BT48" s="41" t="n">
        <f aca="false">IF(OR(Tasks[[#This Row],[Task Name]]="",Tasks[[#This Row],[_Level]]&lt;=1),0,IFERROR(LOOKUP(2,1/(Tasks[[#Headers],[_Level]]:Tasks[[#This Row],[_Level]]=Tasks[[#This Row],[_Level]]-1),ROW(Tasks[[#Headers],[_Level]]:Tasks[[#This Row],[_Level]])),0))</f>
        <v>0</v>
      </c>
      <c r="BU48" s="41" t="n">
        <f aca="false">IFERROR(N(INDEX(Tasks[_Level],Tasks[[#This Row],[_Row]]+1)),0)</f>
        <v>0</v>
      </c>
      <c r="BV48" s="100" t="b">
        <f aca="false">AND(Tasks[[#This Row],[Task Name]]&lt;&gt;"",Tasks[[#This Row],[_NextLevel]]&gt;Tasks[[#This Row],[_Level]])</f>
        <v>0</v>
      </c>
      <c r="BW48" s="41" t="n">
        <f aca="false">IF(Tasks[[#This Row],[_IsSummary]],COUNTIF(Tasks[WBS],Tasks[[#This Row],[WBS]]&amp;".*"),0)</f>
        <v>0</v>
      </c>
      <c r="BX48" s="41" t="n">
        <f aca="false">IF(AND(Tasks[[#This Row],[Task Name]]&lt;&gt;"",NOT(Tasks[[#This Row],[_IsSummary]])),1,0)</f>
        <v>0</v>
      </c>
      <c r="BY48" s="41" t="n">
        <f aca="false">IF(N(Tasks[[#This Row],[Pred1 UID]])=0,0,IFERROR(MATCH(Tasks[[#This Row],[Pred1 UID]],Tasks[UID],0),-1))</f>
        <v>0</v>
      </c>
      <c r="BZ48" s="41" t="n">
        <f aca="false">IF(N(Tasks[[#This Row],[Pred2 UID]])=0,0,IFERROR(MATCH(Tasks[[#This Row],[Pred2 UID]],Tasks[UID],0),-1))</f>
        <v>0</v>
      </c>
      <c r="CA48" s="41" t="n">
        <f aca="false">IF(N(Tasks[[#This Row],[Pred3 UID]])=0,0,IFERROR(MATCH(Tasks[[#This Row],[Pred3 UID]],Tasks[UID],0),-1))</f>
        <v>0</v>
      </c>
      <c r="CB48" s="41" t="n">
        <f aca="false">IF(N(Tasks[[#This Row],[Pred4 UID]])=0,0,IFERROR(MATCH(Tasks[[#This Row],[Pred4 UID]],Tasks[UID],0),-1))</f>
        <v>0</v>
      </c>
      <c r="CC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8" s="101" t="n">
        <f aca="false">IF(OR(Tasks[[#This Row],[_ConstraintCode]]=2,Tasks[[#This Row],[_ConstraintCode]]=3,Tasks[[#This Row],[_ConstraintCode]]=4,Tasks[[#This Row],[_ConstraintCode]]=6),Tasks[[#This Row],[_ConstraintStart]],0)</f>
        <v>0</v>
      </c>
      <c r="CF48" s="101" t="n">
        <f aca="false">IF(OR(Tasks[[#This Row],[_ConstraintCode]]=2,Tasks[[#This Row],[_ConstraintCode]]=3,Tasks[[#This Row],[_ConstraintCode]]=5,Tasks[[#This Row],[_ConstraintCode]]=7),Tasks[[#This Row],[_ConstraintStart]],2958465)</f>
        <v>2958465</v>
      </c>
      <c r="CG4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8" s="101" t="str">
        <f aca="false">IF(NOT(Tasks[[#This Row],[_IsLeaf]]=1),"",IF(N(Tasks[[#This Row],[Duration]])&lt;=0,Tasks[[#This Row],[_LeafCalcStart]],WORKDAY.INTL(Tasks[[#This Row],[_LeafCalcStart]],Tasks[[#This Row],[Duration]]-1,WorkWeek,Holidays)))</f>
        <v/>
      </c>
      <c r="CI4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8" s="41" t="n">
        <f aca="false">IF(NOT(Tasks[[#This Row],[_IsLeaf]]=1),0,IF(N(Tasks[[#This Row],[Actual Finish]])&gt;0,1,MIN(1,N(Tasks[[#This Row],[% Complete]]))))</f>
        <v>0</v>
      </c>
      <c r="CL48" s="41" t="n">
        <f aca="false">IF(OR(NOT(Tasks[[#This Row],[_IsLeaf]]=1),Tasks[[#This Row],[Resource]]=""),0,N(Tasks[[#This Row],[Duration]])*HoursPerDay*IF(Tasks[[#This Row],[Units]]="",DefaultUnits,Tasks[[#This Row],[Units]]))</f>
        <v>0</v>
      </c>
      <c r="CM48" s="41" t="n">
        <f aca="false">IF(Tasks[[#This Row],[_LeafWork]]=0,0,Tasks[[#This Row],[_LeafWork]]*IFERROR(INDEX(res_Rate,MATCH(Tasks[[#This Row],[Resource]],res_Name,0)),0))</f>
        <v>0</v>
      </c>
      <c r="CN48" s="41" t="n">
        <f aca="false">Tasks[[#This Row],[_LeafWork]]+IF(Tasks[[#This Row],[_IsLeaf]]=1,SUMIFS(asg_Work,asg_TaskUID,Tasks[[#This Row],[UID]],asg_Valid,1),0)</f>
        <v>0</v>
      </c>
      <c r="CO48" s="41" t="n">
        <f aca="false">Tasks[[#This Row],[_LeafCost]]+IF(Tasks[[#This Row],[_IsLeaf]]=1,SUMIFS(asg_Cost,asg_TaskUID,Tasks[[#This Row],[UID]],asg_Valid,1),0)</f>
        <v>0</v>
      </c>
      <c r="CP48" s="41" t="n">
        <f aca="false">IF(Tasks[[#This Row],[_LeafTotalCost]]=0,Tasks[[#This Row],[_LeafAC]],Tasks[[#This Row],[_LeafAC]]*Tasks[[#This Row],[_LeafCost]]/Tasks[[#This Row],[_LeafTotalCost]])</f>
        <v>0</v>
      </c>
      <c r="CQ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8" s="41" t="n">
        <f aca="false">IF(NOT(Tasks[[#This Row],[_IsLeaf]]=1),0,MAX(_xlfn.MAXIFS(Tasks[_Row],Tasks[Pred1 UID],Tasks[[#This Row],[UID]]),_xlfn.MAXIFS(Tasks[_Row],Tasks[Pred2 UID],Tasks[[#This Row],[UID]]),_xlfn.MAXIFS(Tasks[_Row],Tasks[Pred3 UID],Tasks[[#This Row],[UID]]),_xlfn.MAXIFS(Tasks[_Row],Tasks[Pred4 UID],Tasks[[#This Row],[UID]])))</f>
        <v>0</v>
      </c>
      <c r="CZ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8" s="101" t="str">
        <f aca="false">IF(NOT(Tasks[[#This Row],[_IsLeaf]]=1),"",IF(N(Tasks[[#This Row],[Duration]])&lt;=0,Tasks[[#This Row],[_LeafLateFinish]],WORKDAY.INTL(Tasks[[#This Row],[_LeafLateFinish]],-(Tasks[[#This Row],[Duration]]-1),WorkWeek,Holidays)))</f>
        <v/>
      </c>
      <c r="DC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8" s="100" t="b">
        <f aca="false">AND(Tasks[[#This Row],[_IsLeaf]]=1,Tasks[[#This Row],[_LeafProgress]]&lt;1,N(Tasks[[#This Row],[_LeafTotalSlack]])&lt;=CriticalSlackDays)</f>
        <v>0</v>
      </c>
      <c r="DE48" s="41" t="n">
        <f aca="false">IF(AND(Tasks[[#This Row],[_IsLeaf]]=1,Tasks[[#This Row],[_ConstraintCode]]=1,Tasks[[#This Row],[Mode]]&lt;&gt;"Manual",N(Tasks[[#This Row],[Actual Start]])=0),MAX(0,N(Tasks[[#This Row],[Free Slack]])),0)</f>
        <v>0</v>
      </c>
      <c r="DF48" s="101" t="str">
        <f aca="false">IF(NOT(Tasks[[#This Row],[_IsLeaf]]=1),"",IF(Tasks[[#This Row],[_AlapShift]]=0,Tasks[[#This Row],[_LeafCalcStart]],WORKDAY.INTL(Tasks[[#This Row],[_LeafCalcStart]],Tasks[[#This Row],[_AlapShift]],WorkWeek,Holidays)))</f>
        <v/>
      </c>
      <c r="DG48" s="101" t="str">
        <f aca="false">IF(NOT(Tasks[[#This Row],[_IsLeaf]]=1),"",IF(Tasks[[#This Row],[_AlapShift]]=0,Tasks[[#This Row],[_LeafCalcFinish]],WORKDAY.INTL(Tasks[[#This Row],[_LeafCalcFinish]],Tasks[[#This Row],[_AlapShift]],WorkWeek,Holidays)))</f>
        <v/>
      </c>
      <c r="DH48" s="101" t="str">
        <f aca="false">IF(NOT(Tasks[[#This Row],[_IsLeaf]]=1),"",IF(Tasks[[#This Row],[_AlapShift]]=0,Tasks[[#This Row],[_LeafFcstStart]],WORKDAY.INTL(Tasks[[#This Row],[_LeafFcstStart]],Tasks[[#This Row],[_AlapShift]],WorkWeek,Holidays)))</f>
        <v/>
      </c>
      <c r="DI48" s="101" t="str">
        <f aca="false">IF(NOT(Tasks[[#This Row],[_IsLeaf]]=1),"",IF(Tasks[[#This Row],[_AlapShift]]=0,Tasks[[#This Row],[_LeafFcstFinish]],WORKDAY.INTL(Tasks[[#This Row],[_LeafFcstFinish]],Tasks[[#This Row],[_AlapShift]],WorkWeek,Holidays)))</f>
        <v/>
      </c>
      <c r="DJ48" s="101" t="str">
        <f aca="false">IF(Tasks[[#This Row],[Task Name]]="","",IF(Tasks[[#This Row],[_IsSummary]],MIN(INDEX(Tasks[_ShownCalcStart],Tasks[[#This Row],[_Row]]+1):INDEX(Tasks[_ShownCalcStart],Tasks[[#This Row],[_Row]]+Tasks[[#This Row],[_Descendants]])),Tasks[[#This Row],[_ShownCalcStart]]))</f>
        <v/>
      </c>
      <c r="DK48" s="101" t="str">
        <f aca="false">IF(Tasks[[#This Row],[Task Name]]="","",IF(Tasks[[#This Row],[_IsSummary]],MAX(INDEX(Tasks[_ShownCalcFinish],Tasks[[#This Row],[_Row]]+1):INDEX(Tasks[_ShownCalcFinish],Tasks[[#This Row],[_Row]]+Tasks[[#This Row],[_Descendants]])),Tasks[[#This Row],[_ShownCalcFinish]]))</f>
        <v/>
      </c>
      <c r="D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8" s="41" t="n">
        <f aca="false">IF(AND(Tasks[[#This Row],[_IsLeaf]]=1,Tasks[[#This Row],[_LeafTotalWork]]&gt;0),NETWORKDAYS.INTL(ProjectStart,Tasks[[#This Row],[_ShownFcstStart]],WorkWeek,Holidays),0)</f>
        <v>0</v>
      </c>
      <c r="DY48" s="41" t="n">
        <f aca="false">IF(AND(Tasks[[#This Row],[_IsLeaf]]=1,Tasks[[#This Row],[_LeafTotalWork]]&gt;0),MAX(Tasks[[#This Row],[_StartWorkday]],NETWORKDAYS.INTL(ProjectStart,Tasks[[#This Row],[_ShownFcstFinish]],WorkWeek,Holidays)),0)</f>
        <v>0</v>
      </c>
      <c r="DZ48" s="41" t="n">
        <f aca="false">IF(AND(Tasks[[#This Row],[_IsLeaf]]=1,Tasks[[#This Row],[_LeafTotalWork]]&gt;0),Tasks[[#This Row],[_LeafWork]]/(Tasks[[#This Row],[_FinishWorkday]]-Tasks[[#This Row],[_StartWorkday]]+1),0)</f>
        <v>0</v>
      </c>
      <c r="EA48" s="41" t="n">
        <f aca="false">Tasks[[#This Row],[_WorkPerWorkday]]*(Tasks[[#This Row],[_StartWorkday]]-1)</f>
        <v>-0</v>
      </c>
      <c r="EB48" s="41" t="n">
        <f aca="false">IF(Tasks[[#This Row],[_IsLeaf]]=1,MAX(N(Tasks[[#This Row],[Duration]]),0.1),0)</f>
        <v>0</v>
      </c>
      <c r="EC48" s="41" t="n">
        <f aca="false">Tasks[[#This Row],[_WeightDur]]*Tasks[[#This Row],[_LeafProgress]]</f>
        <v>0</v>
      </c>
      <c r="ED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8" s="41" t="str">
        <f aca="false">IF(AND(Tasks[[#This Row],[_IsLeaf]]=1,N(Tasks[[#This Row],[Duration]])=0,Tasks[[#This Row],[_LeafProgress]]&lt;1),Tasks[[#This Row],[_ShownFcstFinish]]+Tasks[[#This Row],[_Row]]/100000,"")</f>
        <v/>
      </c>
      <c r="EF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8" s="41" t="n">
        <f aca="false">IF(NOT(Tasks[[#This Row],[_IsLeaf]]=1),0,IF(Tasks[[#This Row],[Baseline Cost]]="",Tasks[[#This Row],[_LeafTotalCost]],N(Tasks[[#This Row],[Baseline Cost]])))</f>
        <v>0</v>
      </c>
      <c r="EH48" s="41" t="n">
        <f aca="false">Tasks[[#This Row],[_LeafBudget]]*Tasks[[#This Row],[_PlannedPct]]</f>
        <v>0</v>
      </c>
      <c r="EI48" s="41" t="n">
        <f aca="false">Tasks[[#This Row],[_LeafBudget]]*Tasks[[#This Row],[_LeafProgress]]</f>
        <v>0</v>
      </c>
      <c r="EJ48" s="41" t="n">
        <f aca="false">IF(NOT(Tasks[[#This Row],[_IsLeaf]]=1),0,IF(Tasks[[#This Row],[Actual Cost]]="",Tasks[[#This Row],[_LeafTotalCost]]*Tasks[[#This Row],[_LeafProgress]],N(Tasks[[#This Row],[Actual Cost]])))</f>
        <v>0</v>
      </c>
      <c r="EK48" s="41" t="str">
        <f aca="false">IF(Tasks[[#This Row],[Task Name]]="","",LEFT(Tasks[[#This Row],[WBS]],FIND(".",Tasks[[#This Row],[WBS]]&amp;".")-1))</f>
        <v/>
      </c>
      <c r="EL48" s="41" t="str">
        <f aca="false">IF(AND(Tasks[[#This Row],[Task Name]]&lt;&gt;"",Tasks[[#This Row],[_Level]]=1),Tasks[[#This Row],[_Row]],"")</f>
        <v/>
      </c>
      <c r="EM48" s="41" t="str">
        <f aca="false">IF(AND(Tasks[[#This Row],[_IsLeaf]]=1,N(Tasks[[#This Row],[Duration]])=0),Tasks[[#This Row],[Planned Finish]]+Tasks[[#This Row],[_Row]]/100000,"")</f>
        <v/>
      </c>
      <c r="EN48" s="41" t="str">
        <f aca="false">IF(AND(Tasks[[#This Row],[_IsLeaf]]=1,Tasks[[#This Row],[_LeafProgress]]&lt;1,OR(N(Tasks[[#This Row],[Finish Var]])&gt;0,Tasks[[#This Row],[Status]]="Late Start")),MAX(0,Tasks[[#This Row],[Finish Var]])+1-Tasks[[#This Row],[_Row]]/1000000,"")</f>
        <v/>
      </c>
      <c r="EO48" s="41" t="str">
        <f aca="false">IF(AND(Tasks[[#This Row],[_IsLeaf]]=1,N(Tasks[[#This Row],[Actual Start]])=0,Tasks[[#This Row],[_ShownFcstStart]]&gt;=StatusDate,Tasks[[#This Row],[_ShownFcstStart]]&lt;=LookaheadEnd),Tasks[[#This Row],[_ShownFcstStart]]+Tasks[[#This Row],[_Row]]/100000,"")</f>
        <v/>
      </c>
      <c r="EP48" s="41" t="str">
        <f aca="false">IF(AND(Tasks[[#This Row],[_IsLeaf]]=1,Tasks[[#This Row],[_LeafProgress]]&lt;1,Tasks[[#This Row],[_ShownFcstFinish]]&gt;=StatusDate,Tasks[[#This Row],[_ShownFcstFinish]]&lt;=LookaheadEnd),Tasks[[#This Row],[_ShownFcstFinish]]+Tasks[[#This Row],[_Row]]/100000,"")</f>
        <v/>
      </c>
      <c r="EQ48" s="41" t="str">
        <f aca="false">IF(Tasks[[#This Row],[_LeafCritical]],Tasks[[#This Row],[_ShownFcstStart]]+Tasks[[#This Row],[_Row]]/100000,"")</f>
        <v/>
      </c>
      <c r="ER48" s="41" t="n">
        <f aca="false">Tasks[[#This Row],[_LeafWork]]*Tasks[[#This Row],[_LeafProgress]]</f>
        <v>0</v>
      </c>
      <c r="ES48" s="101" t="str">
        <f aca="false">IF(AND(Tasks[[#This Row],[_IsLeaf]]=1,Tasks[[#This Row],[_LeafProgress]]&gt;=1),IF(N(Tasks[[#This Row],[Actual Finish]])&gt;0,Tasks[[#This Row],[Actual Finish]],Tasks[[#This Row],[_ShownFcstFinish]]),"")</f>
        <v/>
      </c>
      <c r="ET48" s="41" t="n">
        <f aca="false">IF(Tasks[[#This Row],[_IsLeaf]]=1,N(Tasks[[#This Row],[Story Points]]),0)</f>
        <v>0</v>
      </c>
      <c r="EU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29"/>
      <c r="O49" s="29"/>
      <c r="P49" s="29"/>
      <c r="Q49" s="29"/>
      <c r="R49" s="29"/>
      <c r="S49" s="29"/>
      <c r="T49" s="30"/>
      <c r="U49" s="75"/>
      <c r="V49" s="75"/>
      <c r="W49" s="25" t="str">
        <f aca="false">IF(Tasks[[#This Row],[Task Name]]="","",IF(N(Tasks[[#This Row],[Baseline Start]])&gt;0,Tasks[[#This Row],[Baseline Start]],Tasks[[#This Row],[_CalcStart]]))</f>
        <v/>
      </c>
      <c r="X49" s="25" t="str">
        <f aca="false">IF(Tasks[[#This Row],[Task Name]]="","",IF(N(Tasks[[#This Row],[Baseline Finish]])&gt;0,Tasks[[#This Row],[Baseline Finish]],Tasks[[#This Row],[_CalcFinish]]))</f>
        <v/>
      </c>
      <c r="Y49" s="75"/>
      <c r="Z49" s="75"/>
      <c r="AA49" s="25" t="str">
        <f aca="false">IF(Tasks[[#This Row],[Task Name]]="","",IF(Tasks[[#This Row],[_IsSummary]],MIN(INDEX(Tasks[_ShownFcstStart],Tasks[[#This Row],[_Row]]+1):INDEX(Tasks[_ShownFcstStart],Tasks[[#This Row],[_Row]]+Tasks[[#This Row],[_Descendants]])),Tasks[[#This Row],[_ShownFcstStart]]))</f>
        <v/>
      </c>
      <c r="AB49" s="25" t="str">
        <f aca="false">IF(Tasks[[#This Row],[Task Name]]="","",IF(Tasks[[#This Row],[_IsSummary]],MAX(INDEX(Tasks[_ShownFcstFinish],Tasks[[#This Row],[_Row]]+1):INDEX(Tasks[_ShownFcstFinish],Tasks[[#This Row],[_Row]]+Tasks[[#This Row],[_Descendants]])),Tasks[[#This Row],[_ShownFcstFinish]]))</f>
        <v/>
      </c>
      <c r="AC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9" s="25" t="str">
        <f aca="false">IF(Tasks[[#This Row],[Task Name]]="","",IF(Tasks[[#This Row],[_IsSummary]],MIN(INDEX(Tasks[_LeafLateStart],Tasks[[#This Row],[_Row]]+1):INDEX(Tasks[_LeafLateStart],Tasks[[#This Row],[_Row]]+Tasks[[#This Row],[_Descendants]])),Tasks[[#This Row],[_LeafLateStart]]))</f>
        <v/>
      </c>
      <c r="AF49" s="25" t="str">
        <f aca="false">IF(Tasks[[#This Row],[Task Name]]="","",IF(Tasks[[#This Row],[_IsSummary]],MAX(INDEX(Tasks[_LeafLateFinish],Tasks[[#This Row],[_Row]]+1):INDEX(Tasks[_LeafLateFinish],Tasks[[#This Row],[_Row]]+Tasks[[#This Row],[_Descendants]])),Tasks[[#This Row],[_LeafLateFinish]]))</f>
        <v/>
      </c>
      <c r="AG49" s="28" t="str">
        <f aca="false">IF(Tasks[[#This Row],[Task Name]]="","",IF(Tasks[[#This Row],[_IsSummary]],MIN(INDEX(Tasks[_LeafTotalSlack],Tasks[[#This Row],[_Row]]+1):INDEX(Tasks[_LeafTotalSlack],Tasks[[#This Row],[_Row]]+Tasks[[#This Row],[_Descendants]])),Tasks[[#This Row],[_LeafTotalSlack]]))</f>
        <v/>
      </c>
      <c r="AH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9" s="28" t="str">
        <f aca="false">IF(Tasks[[#This Row],[Task Name]]="","",IF(IF(Tasks[[#This Row],[_IsSummary]],COUNTIF(INDEX(Tasks[_LeafCritical],Tasks[[#This Row],[_Row]]+1):INDEX(Tasks[_LeafCritical],Tasks[[#This Row],[_Row]]+Tasks[[#This Row],[_Descendants]]),TRUE())&gt;0,Tasks[[#This Row],[_LeafCritical]]),"Yes",""))</f>
        <v/>
      </c>
      <c r="AJ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9" s="89"/>
      <c r="AM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9" s="28" t="str">
        <f aca="false">IF(Tasks[[#This Row],[Task Name]]="","",IF(Tasks[[#This Row],[Progress]]&gt;=1,"Complete",IF(OR(N(Tasks[[#This Row],[Actual Start]])&gt;0,Tasks[[#This Row],[Progress]]&gt;0),IF(Tasks[[#This Row],[Finish Var]]&gt;0,"Behind","In Progress"),IF(Tasks[[#This Row],[Planned Start]]&lt;StatusDate,"Late Start","Not Started"))))</f>
        <v/>
      </c>
      <c r="AO49" s="30"/>
      <c r="AP49" s="89"/>
      <c r="AQ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9" s="96" t="str">
        <f aca="false">IF(Tasks[[#This Row],[Task Name]]="","",IF(Tasks[[#This Row],[_IsSummary]],SUM(INDEX(Tasks[_LeafTotalWork],Tasks[[#This Row],[_Row]]+1):INDEX(Tasks[_LeafTotalWork],Tasks[[#This Row],[_Row]]+Tasks[[#This Row],[_Descendants]])),Tasks[[#This Row],[_LeafTotalWork]]))</f>
        <v/>
      </c>
      <c r="AT49" s="97" t="str">
        <f aca="false">IF(Tasks[[#This Row],[Task Name]]="","",IF(Tasks[[#This Row],[_IsSummary]],SUM(INDEX(Tasks[_LeafTotalCost],Tasks[[#This Row],[_Row]]+1):INDEX(Tasks[_LeafTotalCost],Tasks[[#This Row],[_Row]]+Tasks[[#This Row],[_Descendants]])),Tasks[[#This Row],[_LeafTotalCost]]))</f>
        <v/>
      </c>
      <c r="AU49" s="98"/>
      <c r="AV49" s="29"/>
      <c r="AW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9" s="83"/>
      <c r="AY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9" s="30"/>
      <c r="BA49" s="25" t="str">
        <f aca="false">IF(Tasks[[#This Row],[Task Name]]="","",Tasks[[#This Row],[Forecast Start]])</f>
        <v/>
      </c>
      <c r="BB49" s="25" t="str">
        <f aca="false">IF(Tasks[[#This Row],[Task Name]]="","",Tasks[[#This Row],[Forecast Finish]])</f>
        <v/>
      </c>
      <c r="BC49" s="28" t="str">
        <f aca="false">IF(Tasks[[#This Row],[Task Name]]="","",IF(Tasks[[#This Row],[_IsSummary]],NETWORKDAYS.INTL(Tasks[[#This Row],[Forecast Start]],Tasks[[#This Row],[Forecast Finish]],WorkWeek,Holidays),N(Tasks[[#This Row],[Duration]])))</f>
        <v/>
      </c>
      <c r="BD49" s="96" t="str">
        <f aca="false">IF(Tasks[[#This Row],[Task Name]]="","",Tasks[[#This Row],[Work]])</f>
        <v/>
      </c>
      <c r="BE49" s="97" t="str">
        <f aca="false">IF(Tasks[[#This Row],[Task Name]]="","",Tasks[[#This Row],[Cost]])</f>
        <v/>
      </c>
      <c r="BF49" s="75"/>
      <c r="BG49" s="75"/>
      <c r="BH49" s="29"/>
      <c r="BI49" s="99"/>
      <c r="BJ49" s="98"/>
      <c r="BK49" s="28" t="str">
        <f aca="false">IF(OR(Tasks[[#This Row],[Task Name]]="",Tasks[[#This Row],[Baseline Duration]]=""),"",Tasks[[#This Row],[BL Source Duration]]-N(Tasks[[#This Row],[Baseline Duration]]))</f>
        <v/>
      </c>
      <c r="BL49" s="96" t="str">
        <f aca="false">IF(OR(Tasks[[#This Row],[Task Name]]="",Tasks[[#This Row],[Baseline Work]]=""),"",Tasks[[#This Row],[Work]]-N(Tasks[[#This Row],[Baseline Work]]))</f>
        <v/>
      </c>
      <c r="BM49" s="97" t="str">
        <f aca="false">IF(OR(Tasks[[#This Row],[Task Name]]="",Tasks[[#This Row],[Baseline Cost]]=""),"",Tasks[[#This Row],[Cost]]-N(Tasks[[#This Row],[Baseline Cost]]))</f>
        <v/>
      </c>
      <c r="BN49" s="97" t="str">
        <f aca="false">IF(Tasks[[#This Row],[Task Name]]="","",IF(Tasks[[#This Row],[_IsSummary]],SUM(INDEX(Tasks[_LeafBudget],Tasks[[#This Row],[_Row]]+1):INDEX(Tasks[_LeafBudget],Tasks[[#This Row],[_Row]]+Tasks[[#This Row],[_Descendants]])),Tasks[[#This Row],[_LeafBudget]]))</f>
        <v/>
      </c>
      <c r="BO49" s="97" t="str">
        <f aca="false">IF(Tasks[[#This Row],[Task Name]]="","",IF(Tasks[[#This Row],[_IsSummary]],SUM(INDEX(Tasks[_LeafPV],Tasks[[#This Row],[_Row]]+1):INDEX(Tasks[_LeafPV],Tasks[[#This Row],[_Row]]+Tasks[[#This Row],[_Descendants]])),Tasks[[#This Row],[_LeafPV]]))</f>
        <v/>
      </c>
      <c r="BP49" s="97" t="str">
        <f aca="false">IF(Tasks[[#This Row],[Task Name]]="","",IF(Tasks[[#This Row],[_IsSummary]],SUM(INDEX(Tasks[_LeafEV],Tasks[[#This Row],[_Row]]+1):INDEX(Tasks[_LeafEV],Tasks[[#This Row],[_Row]]+Tasks[[#This Row],[_Descendants]])),Tasks[[#This Row],[_LeafEV]]))</f>
        <v/>
      </c>
      <c r="BQ49" s="97" t="str">
        <f aca="false">IF(Tasks[[#This Row],[Task Name]]="","",IF(Tasks[[#This Row],[_IsSummary]],SUM(INDEX(Tasks[_LeafAC],Tasks[[#This Row],[_Row]]+1):INDEX(Tasks[_LeafAC],Tasks[[#This Row],[_Row]]+Tasks[[#This Row],[_Descendants]])),Tasks[[#This Row],[_LeafAC]]))</f>
        <v/>
      </c>
      <c r="BR49" s="41" t="str">
        <f aca="false">IF(Tasks[[#This Row],[Task Name]]="","",MAX(1,N(Tasks[[#This Row],[Level]])))</f>
        <v/>
      </c>
      <c r="BS49" s="41" t="n">
        <f aca="false">ROW()-ROW(Tasks[[#Headers],[ID]])</f>
        <v>44</v>
      </c>
      <c r="BT49" s="41" t="n">
        <f aca="false">IF(OR(Tasks[[#This Row],[Task Name]]="",Tasks[[#This Row],[_Level]]&lt;=1),0,IFERROR(LOOKUP(2,1/(Tasks[[#Headers],[_Level]]:Tasks[[#This Row],[_Level]]=Tasks[[#This Row],[_Level]]-1),ROW(Tasks[[#Headers],[_Level]]:Tasks[[#This Row],[_Level]])),0))</f>
        <v>0</v>
      </c>
      <c r="BU49" s="41" t="n">
        <f aca="false">IFERROR(N(INDEX(Tasks[_Level],Tasks[[#This Row],[_Row]]+1)),0)</f>
        <v>0</v>
      </c>
      <c r="BV49" s="100" t="b">
        <f aca="false">AND(Tasks[[#This Row],[Task Name]]&lt;&gt;"",Tasks[[#This Row],[_NextLevel]]&gt;Tasks[[#This Row],[_Level]])</f>
        <v>0</v>
      </c>
      <c r="BW49" s="41" t="n">
        <f aca="false">IF(Tasks[[#This Row],[_IsSummary]],COUNTIF(Tasks[WBS],Tasks[[#This Row],[WBS]]&amp;".*"),0)</f>
        <v>0</v>
      </c>
      <c r="BX49" s="41" t="n">
        <f aca="false">IF(AND(Tasks[[#This Row],[Task Name]]&lt;&gt;"",NOT(Tasks[[#This Row],[_IsSummary]])),1,0)</f>
        <v>0</v>
      </c>
      <c r="BY49" s="41" t="n">
        <f aca="false">IF(N(Tasks[[#This Row],[Pred1 UID]])=0,0,IFERROR(MATCH(Tasks[[#This Row],[Pred1 UID]],Tasks[UID],0),-1))</f>
        <v>0</v>
      </c>
      <c r="BZ49" s="41" t="n">
        <f aca="false">IF(N(Tasks[[#This Row],[Pred2 UID]])=0,0,IFERROR(MATCH(Tasks[[#This Row],[Pred2 UID]],Tasks[UID],0),-1))</f>
        <v>0</v>
      </c>
      <c r="CA49" s="41" t="n">
        <f aca="false">IF(N(Tasks[[#This Row],[Pred3 UID]])=0,0,IFERROR(MATCH(Tasks[[#This Row],[Pred3 UID]],Tasks[UID],0),-1))</f>
        <v>0</v>
      </c>
      <c r="CB49" s="41" t="n">
        <f aca="false">IF(N(Tasks[[#This Row],[Pred4 UID]])=0,0,IFERROR(MATCH(Tasks[[#This Row],[Pred4 UID]],Tasks[UID],0),-1))</f>
        <v>0</v>
      </c>
      <c r="CC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9" s="101" t="n">
        <f aca="false">IF(OR(Tasks[[#This Row],[_ConstraintCode]]=2,Tasks[[#This Row],[_ConstraintCode]]=3,Tasks[[#This Row],[_ConstraintCode]]=4,Tasks[[#This Row],[_ConstraintCode]]=6),Tasks[[#This Row],[_ConstraintStart]],0)</f>
        <v>0</v>
      </c>
      <c r="CF49" s="101" t="n">
        <f aca="false">IF(OR(Tasks[[#This Row],[_ConstraintCode]]=2,Tasks[[#This Row],[_ConstraintCode]]=3,Tasks[[#This Row],[_ConstraintCode]]=5,Tasks[[#This Row],[_ConstraintCode]]=7),Tasks[[#This Row],[_ConstraintStart]],2958465)</f>
        <v>2958465</v>
      </c>
      <c r="CG4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9" s="101" t="str">
        <f aca="false">IF(NOT(Tasks[[#This Row],[_IsLeaf]]=1),"",IF(N(Tasks[[#This Row],[Duration]])&lt;=0,Tasks[[#This Row],[_LeafCalcStart]],WORKDAY.INTL(Tasks[[#This Row],[_LeafCalcStart]],Tasks[[#This Row],[Duration]]-1,WorkWeek,Holidays)))</f>
        <v/>
      </c>
      <c r="CI4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9" s="41" t="n">
        <f aca="false">IF(NOT(Tasks[[#This Row],[_IsLeaf]]=1),0,IF(N(Tasks[[#This Row],[Actual Finish]])&gt;0,1,MIN(1,N(Tasks[[#This Row],[% Complete]]))))</f>
        <v>0</v>
      </c>
      <c r="CL49" s="41" t="n">
        <f aca="false">IF(OR(NOT(Tasks[[#This Row],[_IsLeaf]]=1),Tasks[[#This Row],[Resource]]=""),0,N(Tasks[[#This Row],[Duration]])*HoursPerDay*IF(Tasks[[#This Row],[Units]]="",DefaultUnits,Tasks[[#This Row],[Units]]))</f>
        <v>0</v>
      </c>
      <c r="CM49" s="41" t="n">
        <f aca="false">IF(Tasks[[#This Row],[_LeafWork]]=0,0,Tasks[[#This Row],[_LeafWork]]*IFERROR(INDEX(res_Rate,MATCH(Tasks[[#This Row],[Resource]],res_Name,0)),0))</f>
        <v>0</v>
      </c>
      <c r="CN49" s="41" t="n">
        <f aca="false">Tasks[[#This Row],[_LeafWork]]+IF(Tasks[[#This Row],[_IsLeaf]]=1,SUMIFS(asg_Work,asg_TaskUID,Tasks[[#This Row],[UID]],asg_Valid,1),0)</f>
        <v>0</v>
      </c>
      <c r="CO49" s="41" t="n">
        <f aca="false">Tasks[[#This Row],[_LeafCost]]+IF(Tasks[[#This Row],[_IsLeaf]]=1,SUMIFS(asg_Cost,asg_TaskUID,Tasks[[#This Row],[UID]],asg_Valid,1),0)</f>
        <v>0</v>
      </c>
      <c r="CP49" s="41" t="n">
        <f aca="false">IF(Tasks[[#This Row],[_LeafTotalCost]]=0,Tasks[[#This Row],[_LeafAC]],Tasks[[#This Row],[_LeafAC]]*Tasks[[#This Row],[_LeafCost]]/Tasks[[#This Row],[_LeafTotalCost]])</f>
        <v>0</v>
      </c>
      <c r="CQ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9" s="41" t="n">
        <f aca="false">IF(NOT(Tasks[[#This Row],[_IsLeaf]]=1),0,MAX(_xlfn.MAXIFS(Tasks[_Row],Tasks[Pred1 UID],Tasks[[#This Row],[UID]]),_xlfn.MAXIFS(Tasks[_Row],Tasks[Pred2 UID],Tasks[[#This Row],[UID]]),_xlfn.MAXIFS(Tasks[_Row],Tasks[Pred3 UID],Tasks[[#This Row],[UID]]),_xlfn.MAXIFS(Tasks[_Row],Tasks[Pred4 UID],Tasks[[#This Row],[UID]])))</f>
        <v>0</v>
      </c>
      <c r="CZ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9" s="101" t="str">
        <f aca="false">IF(NOT(Tasks[[#This Row],[_IsLeaf]]=1),"",IF(N(Tasks[[#This Row],[Duration]])&lt;=0,Tasks[[#This Row],[_LeafLateFinish]],WORKDAY.INTL(Tasks[[#This Row],[_LeafLateFinish]],-(Tasks[[#This Row],[Duration]]-1),WorkWeek,Holidays)))</f>
        <v/>
      </c>
      <c r="DC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9" s="100" t="b">
        <f aca="false">AND(Tasks[[#This Row],[_IsLeaf]]=1,Tasks[[#This Row],[_LeafProgress]]&lt;1,N(Tasks[[#This Row],[_LeafTotalSlack]])&lt;=CriticalSlackDays)</f>
        <v>0</v>
      </c>
      <c r="DE49" s="41" t="n">
        <f aca="false">IF(AND(Tasks[[#This Row],[_IsLeaf]]=1,Tasks[[#This Row],[_ConstraintCode]]=1,Tasks[[#This Row],[Mode]]&lt;&gt;"Manual",N(Tasks[[#This Row],[Actual Start]])=0),MAX(0,N(Tasks[[#This Row],[Free Slack]])),0)</f>
        <v>0</v>
      </c>
      <c r="DF49" s="101" t="str">
        <f aca="false">IF(NOT(Tasks[[#This Row],[_IsLeaf]]=1),"",IF(Tasks[[#This Row],[_AlapShift]]=0,Tasks[[#This Row],[_LeafCalcStart]],WORKDAY.INTL(Tasks[[#This Row],[_LeafCalcStart]],Tasks[[#This Row],[_AlapShift]],WorkWeek,Holidays)))</f>
        <v/>
      </c>
      <c r="DG49" s="101" t="str">
        <f aca="false">IF(NOT(Tasks[[#This Row],[_IsLeaf]]=1),"",IF(Tasks[[#This Row],[_AlapShift]]=0,Tasks[[#This Row],[_LeafCalcFinish]],WORKDAY.INTL(Tasks[[#This Row],[_LeafCalcFinish]],Tasks[[#This Row],[_AlapShift]],WorkWeek,Holidays)))</f>
        <v/>
      </c>
      <c r="DH49" s="101" t="str">
        <f aca="false">IF(NOT(Tasks[[#This Row],[_IsLeaf]]=1),"",IF(Tasks[[#This Row],[_AlapShift]]=0,Tasks[[#This Row],[_LeafFcstStart]],WORKDAY.INTL(Tasks[[#This Row],[_LeafFcstStart]],Tasks[[#This Row],[_AlapShift]],WorkWeek,Holidays)))</f>
        <v/>
      </c>
      <c r="DI49" s="101" t="str">
        <f aca="false">IF(NOT(Tasks[[#This Row],[_IsLeaf]]=1),"",IF(Tasks[[#This Row],[_AlapShift]]=0,Tasks[[#This Row],[_LeafFcstFinish]],WORKDAY.INTL(Tasks[[#This Row],[_LeafFcstFinish]],Tasks[[#This Row],[_AlapShift]],WorkWeek,Holidays)))</f>
        <v/>
      </c>
      <c r="DJ49" s="101" t="str">
        <f aca="false">IF(Tasks[[#This Row],[Task Name]]="","",IF(Tasks[[#This Row],[_IsSummary]],MIN(INDEX(Tasks[_ShownCalcStart],Tasks[[#This Row],[_Row]]+1):INDEX(Tasks[_ShownCalcStart],Tasks[[#This Row],[_Row]]+Tasks[[#This Row],[_Descendants]])),Tasks[[#This Row],[_ShownCalcStart]]))</f>
        <v/>
      </c>
      <c r="DK49" s="101" t="str">
        <f aca="false">IF(Tasks[[#This Row],[Task Name]]="","",IF(Tasks[[#This Row],[_IsSummary]],MAX(INDEX(Tasks[_ShownCalcFinish],Tasks[[#This Row],[_Row]]+1):INDEX(Tasks[_ShownCalcFinish],Tasks[[#This Row],[_Row]]+Tasks[[#This Row],[_Descendants]])),Tasks[[#This Row],[_ShownCalcFinish]]))</f>
        <v/>
      </c>
      <c r="D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9" s="41" t="n">
        <f aca="false">IF(AND(Tasks[[#This Row],[_IsLeaf]]=1,Tasks[[#This Row],[_LeafTotalWork]]&gt;0),NETWORKDAYS.INTL(ProjectStart,Tasks[[#This Row],[_ShownFcstStart]],WorkWeek,Holidays),0)</f>
        <v>0</v>
      </c>
      <c r="DY49" s="41" t="n">
        <f aca="false">IF(AND(Tasks[[#This Row],[_IsLeaf]]=1,Tasks[[#This Row],[_LeafTotalWork]]&gt;0),MAX(Tasks[[#This Row],[_StartWorkday]],NETWORKDAYS.INTL(ProjectStart,Tasks[[#This Row],[_ShownFcstFinish]],WorkWeek,Holidays)),0)</f>
        <v>0</v>
      </c>
      <c r="DZ49" s="41" t="n">
        <f aca="false">IF(AND(Tasks[[#This Row],[_IsLeaf]]=1,Tasks[[#This Row],[_LeafTotalWork]]&gt;0),Tasks[[#This Row],[_LeafWork]]/(Tasks[[#This Row],[_FinishWorkday]]-Tasks[[#This Row],[_StartWorkday]]+1),0)</f>
        <v>0</v>
      </c>
      <c r="EA49" s="41" t="n">
        <f aca="false">Tasks[[#This Row],[_WorkPerWorkday]]*(Tasks[[#This Row],[_StartWorkday]]-1)</f>
        <v>-0</v>
      </c>
      <c r="EB49" s="41" t="n">
        <f aca="false">IF(Tasks[[#This Row],[_IsLeaf]]=1,MAX(N(Tasks[[#This Row],[Duration]]),0.1),0)</f>
        <v>0</v>
      </c>
      <c r="EC49" s="41" t="n">
        <f aca="false">Tasks[[#This Row],[_WeightDur]]*Tasks[[#This Row],[_LeafProgress]]</f>
        <v>0</v>
      </c>
      <c r="ED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9" s="41" t="str">
        <f aca="false">IF(AND(Tasks[[#This Row],[_IsLeaf]]=1,N(Tasks[[#This Row],[Duration]])=0,Tasks[[#This Row],[_LeafProgress]]&lt;1),Tasks[[#This Row],[_ShownFcstFinish]]+Tasks[[#This Row],[_Row]]/100000,"")</f>
        <v/>
      </c>
      <c r="EF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9" s="41" t="n">
        <f aca="false">IF(NOT(Tasks[[#This Row],[_IsLeaf]]=1),0,IF(Tasks[[#This Row],[Baseline Cost]]="",Tasks[[#This Row],[_LeafTotalCost]],N(Tasks[[#This Row],[Baseline Cost]])))</f>
        <v>0</v>
      </c>
      <c r="EH49" s="41" t="n">
        <f aca="false">Tasks[[#This Row],[_LeafBudget]]*Tasks[[#This Row],[_PlannedPct]]</f>
        <v>0</v>
      </c>
      <c r="EI49" s="41" t="n">
        <f aca="false">Tasks[[#This Row],[_LeafBudget]]*Tasks[[#This Row],[_LeafProgress]]</f>
        <v>0</v>
      </c>
      <c r="EJ49" s="41" t="n">
        <f aca="false">IF(NOT(Tasks[[#This Row],[_IsLeaf]]=1),0,IF(Tasks[[#This Row],[Actual Cost]]="",Tasks[[#This Row],[_LeafTotalCost]]*Tasks[[#This Row],[_LeafProgress]],N(Tasks[[#This Row],[Actual Cost]])))</f>
        <v>0</v>
      </c>
      <c r="EK49" s="41" t="str">
        <f aca="false">IF(Tasks[[#This Row],[Task Name]]="","",LEFT(Tasks[[#This Row],[WBS]],FIND(".",Tasks[[#This Row],[WBS]]&amp;".")-1))</f>
        <v/>
      </c>
      <c r="EL49" s="41" t="str">
        <f aca="false">IF(AND(Tasks[[#This Row],[Task Name]]&lt;&gt;"",Tasks[[#This Row],[_Level]]=1),Tasks[[#This Row],[_Row]],"")</f>
        <v/>
      </c>
      <c r="EM49" s="41" t="str">
        <f aca="false">IF(AND(Tasks[[#This Row],[_IsLeaf]]=1,N(Tasks[[#This Row],[Duration]])=0),Tasks[[#This Row],[Planned Finish]]+Tasks[[#This Row],[_Row]]/100000,"")</f>
        <v/>
      </c>
      <c r="EN49" s="41" t="str">
        <f aca="false">IF(AND(Tasks[[#This Row],[_IsLeaf]]=1,Tasks[[#This Row],[_LeafProgress]]&lt;1,OR(N(Tasks[[#This Row],[Finish Var]])&gt;0,Tasks[[#This Row],[Status]]="Late Start")),MAX(0,Tasks[[#This Row],[Finish Var]])+1-Tasks[[#This Row],[_Row]]/1000000,"")</f>
        <v/>
      </c>
      <c r="EO49" s="41" t="str">
        <f aca="false">IF(AND(Tasks[[#This Row],[_IsLeaf]]=1,N(Tasks[[#This Row],[Actual Start]])=0,Tasks[[#This Row],[_ShownFcstStart]]&gt;=StatusDate,Tasks[[#This Row],[_ShownFcstStart]]&lt;=LookaheadEnd),Tasks[[#This Row],[_ShownFcstStart]]+Tasks[[#This Row],[_Row]]/100000,"")</f>
        <v/>
      </c>
      <c r="EP49" s="41" t="str">
        <f aca="false">IF(AND(Tasks[[#This Row],[_IsLeaf]]=1,Tasks[[#This Row],[_LeafProgress]]&lt;1,Tasks[[#This Row],[_ShownFcstFinish]]&gt;=StatusDate,Tasks[[#This Row],[_ShownFcstFinish]]&lt;=LookaheadEnd),Tasks[[#This Row],[_ShownFcstFinish]]+Tasks[[#This Row],[_Row]]/100000,"")</f>
        <v/>
      </c>
      <c r="EQ49" s="41" t="str">
        <f aca="false">IF(Tasks[[#This Row],[_LeafCritical]],Tasks[[#This Row],[_ShownFcstStart]]+Tasks[[#This Row],[_Row]]/100000,"")</f>
        <v/>
      </c>
      <c r="ER49" s="41" t="n">
        <f aca="false">Tasks[[#This Row],[_LeafWork]]*Tasks[[#This Row],[_LeafProgress]]</f>
        <v>0</v>
      </c>
      <c r="ES49" s="101" t="str">
        <f aca="false">IF(AND(Tasks[[#This Row],[_IsLeaf]]=1,Tasks[[#This Row],[_LeafProgress]]&gt;=1),IF(N(Tasks[[#This Row],[Actual Finish]])&gt;0,Tasks[[#This Row],[Actual Finish]],Tasks[[#This Row],[_ShownFcstFinish]]),"")</f>
        <v/>
      </c>
      <c r="ET49" s="41" t="n">
        <f aca="false">IF(Tasks[[#This Row],[_IsLeaf]]=1,N(Tasks[[#This Row],[Story Points]]),0)</f>
        <v>0</v>
      </c>
      <c r="EU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29"/>
      <c r="O50" s="29"/>
      <c r="P50" s="29"/>
      <c r="Q50" s="29"/>
      <c r="R50" s="29"/>
      <c r="S50" s="29"/>
      <c r="T50" s="30"/>
      <c r="U50" s="75"/>
      <c r="V50" s="75"/>
      <c r="W50" s="25" t="str">
        <f aca="false">IF(Tasks[[#This Row],[Task Name]]="","",IF(N(Tasks[[#This Row],[Baseline Start]])&gt;0,Tasks[[#This Row],[Baseline Start]],Tasks[[#This Row],[_CalcStart]]))</f>
        <v/>
      </c>
      <c r="X50" s="25" t="str">
        <f aca="false">IF(Tasks[[#This Row],[Task Name]]="","",IF(N(Tasks[[#This Row],[Baseline Finish]])&gt;0,Tasks[[#This Row],[Baseline Finish]],Tasks[[#This Row],[_CalcFinish]]))</f>
        <v/>
      </c>
      <c r="Y50" s="75"/>
      <c r="Z50" s="75"/>
      <c r="AA50" s="25" t="str">
        <f aca="false">IF(Tasks[[#This Row],[Task Name]]="","",IF(Tasks[[#This Row],[_IsSummary]],MIN(INDEX(Tasks[_ShownFcstStart],Tasks[[#This Row],[_Row]]+1):INDEX(Tasks[_ShownFcstStart],Tasks[[#This Row],[_Row]]+Tasks[[#This Row],[_Descendants]])),Tasks[[#This Row],[_ShownFcstStart]]))</f>
        <v/>
      </c>
      <c r="AB50" s="25" t="str">
        <f aca="false">IF(Tasks[[#This Row],[Task Name]]="","",IF(Tasks[[#This Row],[_IsSummary]],MAX(INDEX(Tasks[_ShownFcstFinish],Tasks[[#This Row],[_Row]]+1):INDEX(Tasks[_ShownFcstFinish],Tasks[[#This Row],[_Row]]+Tasks[[#This Row],[_Descendants]])),Tasks[[#This Row],[_ShownFcstFinish]]))</f>
        <v/>
      </c>
      <c r="AC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0" s="25" t="str">
        <f aca="false">IF(Tasks[[#This Row],[Task Name]]="","",IF(Tasks[[#This Row],[_IsSummary]],MIN(INDEX(Tasks[_LeafLateStart],Tasks[[#This Row],[_Row]]+1):INDEX(Tasks[_LeafLateStart],Tasks[[#This Row],[_Row]]+Tasks[[#This Row],[_Descendants]])),Tasks[[#This Row],[_LeafLateStart]]))</f>
        <v/>
      </c>
      <c r="AF50" s="25" t="str">
        <f aca="false">IF(Tasks[[#This Row],[Task Name]]="","",IF(Tasks[[#This Row],[_IsSummary]],MAX(INDEX(Tasks[_LeafLateFinish],Tasks[[#This Row],[_Row]]+1):INDEX(Tasks[_LeafLateFinish],Tasks[[#This Row],[_Row]]+Tasks[[#This Row],[_Descendants]])),Tasks[[#This Row],[_LeafLateFinish]]))</f>
        <v/>
      </c>
      <c r="AG50" s="28" t="str">
        <f aca="false">IF(Tasks[[#This Row],[Task Name]]="","",IF(Tasks[[#This Row],[_IsSummary]],MIN(INDEX(Tasks[_LeafTotalSlack],Tasks[[#This Row],[_Row]]+1):INDEX(Tasks[_LeafTotalSlack],Tasks[[#This Row],[_Row]]+Tasks[[#This Row],[_Descendants]])),Tasks[[#This Row],[_LeafTotalSlack]]))</f>
        <v/>
      </c>
      <c r="AH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0" s="28" t="str">
        <f aca="false">IF(Tasks[[#This Row],[Task Name]]="","",IF(IF(Tasks[[#This Row],[_IsSummary]],COUNTIF(INDEX(Tasks[_LeafCritical],Tasks[[#This Row],[_Row]]+1):INDEX(Tasks[_LeafCritical],Tasks[[#This Row],[_Row]]+Tasks[[#This Row],[_Descendants]]),TRUE())&gt;0,Tasks[[#This Row],[_LeafCritical]]),"Yes",""))</f>
        <v/>
      </c>
      <c r="AJ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0" s="89"/>
      <c r="AM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0" s="28" t="str">
        <f aca="false">IF(Tasks[[#This Row],[Task Name]]="","",IF(Tasks[[#This Row],[Progress]]&gt;=1,"Complete",IF(OR(N(Tasks[[#This Row],[Actual Start]])&gt;0,Tasks[[#This Row],[Progress]]&gt;0),IF(Tasks[[#This Row],[Finish Var]]&gt;0,"Behind","In Progress"),IF(Tasks[[#This Row],[Planned Start]]&lt;StatusDate,"Late Start","Not Started"))))</f>
        <v/>
      </c>
      <c r="AO50" s="30"/>
      <c r="AP50" s="89"/>
      <c r="AQ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0" s="96" t="str">
        <f aca="false">IF(Tasks[[#This Row],[Task Name]]="","",IF(Tasks[[#This Row],[_IsSummary]],SUM(INDEX(Tasks[_LeafTotalWork],Tasks[[#This Row],[_Row]]+1):INDEX(Tasks[_LeafTotalWork],Tasks[[#This Row],[_Row]]+Tasks[[#This Row],[_Descendants]])),Tasks[[#This Row],[_LeafTotalWork]]))</f>
        <v/>
      </c>
      <c r="AT50" s="97" t="str">
        <f aca="false">IF(Tasks[[#This Row],[Task Name]]="","",IF(Tasks[[#This Row],[_IsSummary]],SUM(INDEX(Tasks[_LeafTotalCost],Tasks[[#This Row],[_Row]]+1):INDEX(Tasks[_LeafTotalCost],Tasks[[#This Row],[_Row]]+Tasks[[#This Row],[_Descendants]])),Tasks[[#This Row],[_LeafTotalCost]]))</f>
        <v/>
      </c>
      <c r="AU50" s="98"/>
      <c r="AV50" s="29"/>
      <c r="AW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0" s="83"/>
      <c r="AY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0" s="30"/>
      <c r="BA50" s="25" t="str">
        <f aca="false">IF(Tasks[[#This Row],[Task Name]]="","",Tasks[[#This Row],[Forecast Start]])</f>
        <v/>
      </c>
      <c r="BB50" s="25" t="str">
        <f aca="false">IF(Tasks[[#This Row],[Task Name]]="","",Tasks[[#This Row],[Forecast Finish]])</f>
        <v/>
      </c>
      <c r="BC50" s="28" t="str">
        <f aca="false">IF(Tasks[[#This Row],[Task Name]]="","",IF(Tasks[[#This Row],[_IsSummary]],NETWORKDAYS.INTL(Tasks[[#This Row],[Forecast Start]],Tasks[[#This Row],[Forecast Finish]],WorkWeek,Holidays),N(Tasks[[#This Row],[Duration]])))</f>
        <v/>
      </c>
      <c r="BD50" s="96" t="str">
        <f aca="false">IF(Tasks[[#This Row],[Task Name]]="","",Tasks[[#This Row],[Work]])</f>
        <v/>
      </c>
      <c r="BE50" s="97" t="str">
        <f aca="false">IF(Tasks[[#This Row],[Task Name]]="","",Tasks[[#This Row],[Cost]])</f>
        <v/>
      </c>
      <c r="BF50" s="75"/>
      <c r="BG50" s="75"/>
      <c r="BH50" s="29"/>
      <c r="BI50" s="99"/>
      <c r="BJ50" s="98"/>
      <c r="BK50" s="28" t="str">
        <f aca="false">IF(OR(Tasks[[#This Row],[Task Name]]="",Tasks[[#This Row],[Baseline Duration]]=""),"",Tasks[[#This Row],[BL Source Duration]]-N(Tasks[[#This Row],[Baseline Duration]]))</f>
        <v/>
      </c>
      <c r="BL50" s="96" t="str">
        <f aca="false">IF(OR(Tasks[[#This Row],[Task Name]]="",Tasks[[#This Row],[Baseline Work]]=""),"",Tasks[[#This Row],[Work]]-N(Tasks[[#This Row],[Baseline Work]]))</f>
        <v/>
      </c>
      <c r="BM50" s="97" t="str">
        <f aca="false">IF(OR(Tasks[[#This Row],[Task Name]]="",Tasks[[#This Row],[Baseline Cost]]=""),"",Tasks[[#This Row],[Cost]]-N(Tasks[[#This Row],[Baseline Cost]]))</f>
        <v/>
      </c>
      <c r="BN50" s="97" t="str">
        <f aca="false">IF(Tasks[[#This Row],[Task Name]]="","",IF(Tasks[[#This Row],[_IsSummary]],SUM(INDEX(Tasks[_LeafBudget],Tasks[[#This Row],[_Row]]+1):INDEX(Tasks[_LeafBudget],Tasks[[#This Row],[_Row]]+Tasks[[#This Row],[_Descendants]])),Tasks[[#This Row],[_LeafBudget]]))</f>
        <v/>
      </c>
      <c r="BO50" s="97" t="str">
        <f aca="false">IF(Tasks[[#This Row],[Task Name]]="","",IF(Tasks[[#This Row],[_IsSummary]],SUM(INDEX(Tasks[_LeafPV],Tasks[[#This Row],[_Row]]+1):INDEX(Tasks[_LeafPV],Tasks[[#This Row],[_Row]]+Tasks[[#This Row],[_Descendants]])),Tasks[[#This Row],[_LeafPV]]))</f>
        <v/>
      </c>
      <c r="BP50" s="97" t="str">
        <f aca="false">IF(Tasks[[#This Row],[Task Name]]="","",IF(Tasks[[#This Row],[_IsSummary]],SUM(INDEX(Tasks[_LeafEV],Tasks[[#This Row],[_Row]]+1):INDEX(Tasks[_LeafEV],Tasks[[#This Row],[_Row]]+Tasks[[#This Row],[_Descendants]])),Tasks[[#This Row],[_LeafEV]]))</f>
        <v/>
      </c>
      <c r="BQ50" s="97" t="str">
        <f aca="false">IF(Tasks[[#This Row],[Task Name]]="","",IF(Tasks[[#This Row],[_IsSummary]],SUM(INDEX(Tasks[_LeafAC],Tasks[[#This Row],[_Row]]+1):INDEX(Tasks[_LeafAC],Tasks[[#This Row],[_Row]]+Tasks[[#This Row],[_Descendants]])),Tasks[[#This Row],[_LeafAC]]))</f>
        <v/>
      </c>
      <c r="BR50" s="41" t="str">
        <f aca="false">IF(Tasks[[#This Row],[Task Name]]="","",MAX(1,N(Tasks[[#This Row],[Level]])))</f>
        <v/>
      </c>
      <c r="BS50" s="41" t="n">
        <f aca="false">ROW()-ROW(Tasks[[#Headers],[ID]])</f>
        <v>45</v>
      </c>
      <c r="BT50" s="41" t="n">
        <f aca="false">IF(OR(Tasks[[#This Row],[Task Name]]="",Tasks[[#This Row],[_Level]]&lt;=1),0,IFERROR(LOOKUP(2,1/(Tasks[[#Headers],[_Level]]:Tasks[[#This Row],[_Level]]=Tasks[[#This Row],[_Level]]-1),ROW(Tasks[[#Headers],[_Level]]:Tasks[[#This Row],[_Level]])),0))</f>
        <v>0</v>
      </c>
      <c r="BU50" s="41" t="n">
        <f aca="false">IFERROR(N(INDEX(Tasks[_Level],Tasks[[#This Row],[_Row]]+1)),0)</f>
        <v>0</v>
      </c>
      <c r="BV50" s="100" t="b">
        <f aca="false">AND(Tasks[[#This Row],[Task Name]]&lt;&gt;"",Tasks[[#This Row],[_NextLevel]]&gt;Tasks[[#This Row],[_Level]])</f>
        <v>0</v>
      </c>
      <c r="BW50" s="41" t="n">
        <f aca="false">IF(Tasks[[#This Row],[_IsSummary]],COUNTIF(Tasks[WBS],Tasks[[#This Row],[WBS]]&amp;".*"),0)</f>
        <v>0</v>
      </c>
      <c r="BX50" s="41" t="n">
        <f aca="false">IF(AND(Tasks[[#This Row],[Task Name]]&lt;&gt;"",NOT(Tasks[[#This Row],[_IsSummary]])),1,0)</f>
        <v>0</v>
      </c>
      <c r="BY50" s="41" t="n">
        <f aca="false">IF(N(Tasks[[#This Row],[Pred1 UID]])=0,0,IFERROR(MATCH(Tasks[[#This Row],[Pred1 UID]],Tasks[UID],0),-1))</f>
        <v>0</v>
      </c>
      <c r="BZ50" s="41" t="n">
        <f aca="false">IF(N(Tasks[[#This Row],[Pred2 UID]])=0,0,IFERROR(MATCH(Tasks[[#This Row],[Pred2 UID]],Tasks[UID],0),-1))</f>
        <v>0</v>
      </c>
      <c r="CA50" s="41" t="n">
        <f aca="false">IF(N(Tasks[[#This Row],[Pred3 UID]])=0,0,IFERROR(MATCH(Tasks[[#This Row],[Pred3 UID]],Tasks[UID],0),-1))</f>
        <v>0</v>
      </c>
      <c r="CB50" s="41" t="n">
        <f aca="false">IF(N(Tasks[[#This Row],[Pred4 UID]])=0,0,IFERROR(MATCH(Tasks[[#This Row],[Pred4 UID]],Tasks[UID],0),-1))</f>
        <v>0</v>
      </c>
      <c r="CC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0" s="101" t="n">
        <f aca="false">IF(OR(Tasks[[#This Row],[_ConstraintCode]]=2,Tasks[[#This Row],[_ConstraintCode]]=3,Tasks[[#This Row],[_ConstraintCode]]=4,Tasks[[#This Row],[_ConstraintCode]]=6),Tasks[[#This Row],[_ConstraintStart]],0)</f>
        <v>0</v>
      </c>
      <c r="CF50" s="101" t="n">
        <f aca="false">IF(OR(Tasks[[#This Row],[_ConstraintCode]]=2,Tasks[[#This Row],[_ConstraintCode]]=3,Tasks[[#This Row],[_ConstraintCode]]=5,Tasks[[#This Row],[_ConstraintCode]]=7),Tasks[[#This Row],[_ConstraintStart]],2958465)</f>
        <v>2958465</v>
      </c>
      <c r="CG5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0" s="101" t="str">
        <f aca="false">IF(NOT(Tasks[[#This Row],[_IsLeaf]]=1),"",IF(N(Tasks[[#This Row],[Duration]])&lt;=0,Tasks[[#This Row],[_LeafCalcStart]],WORKDAY.INTL(Tasks[[#This Row],[_LeafCalcStart]],Tasks[[#This Row],[Duration]]-1,WorkWeek,Holidays)))</f>
        <v/>
      </c>
      <c r="CI5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0" s="41" t="n">
        <f aca="false">IF(NOT(Tasks[[#This Row],[_IsLeaf]]=1),0,IF(N(Tasks[[#This Row],[Actual Finish]])&gt;0,1,MIN(1,N(Tasks[[#This Row],[% Complete]]))))</f>
        <v>0</v>
      </c>
      <c r="CL50" s="41" t="n">
        <f aca="false">IF(OR(NOT(Tasks[[#This Row],[_IsLeaf]]=1),Tasks[[#This Row],[Resource]]=""),0,N(Tasks[[#This Row],[Duration]])*HoursPerDay*IF(Tasks[[#This Row],[Units]]="",DefaultUnits,Tasks[[#This Row],[Units]]))</f>
        <v>0</v>
      </c>
      <c r="CM50" s="41" t="n">
        <f aca="false">IF(Tasks[[#This Row],[_LeafWork]]=0,0,Tasks[[#This Row],[_LeafWork]]*IFERROR(INDEX(res_Rate,MATCH(Tasks[[#This Row],[Resource]],res_Name,0)),0))</f>
        <v>0</v>
      </c>
      <c r="CN50" s="41" t="n">
        <f aca="false">Tasks[[#This Row],[_LeafWork]]+IF(Tasks[[#This Row],[_IsLeaf]]=1,SUMIFS(asg_Work,asg_TaskUID,Tasks[[#This Row],[UID]],asg_Valid,1),0)</f>
        <v>0</v>
      </c>
      <c r="CO50" s="41" t="n">
        <f aca="false">Tasks[[#This Row],[_LeafCost]]+IF(Tasks[[#This Row],[_IsLeaf]]=1,SUMIFS(asg_Cost,asg_TaskUID,Tasks[[#This Row],[UID]],asg_Valid,1),0)</f>
        <v>0</v>
      </c>
      <c r="CP50" s="41" t="n">
        <f aca="false">IF(Tasks[[#This Row],[_LeafTotalCost]]=0,Tasks[[#This Row],[_LeafAC]],Tasks[[#This Row],[_LeafAC]]*Tasks[[#This Row],[_LeafCost]]/Tasks[[#This Row],[_LeafTotalCost]])</f>
        <v>0</v>
      </c>
      <c r="CQ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0" s="41" t="n">
        <f aca="false">IF(NOT(Tasks[[#This Row],[_IsLeaf]]=1),0,MAX(_xlfn.MAXIFS(Tasks[_Row],Tasks[Pred1 UID],Tasks[[#This Row],[UID]]),_xlfn.MAXIFS(Tasks[_Row],Tasks[Pred2 UID],Tasks[[#This Row],[UID]]),_xlfn.MAXIFS(Tasks[_Row],Tasks[Pred3 UID],Tasks[[#This Row],[UID]]),_xlfn.MAXIFS(Tasks[_Row],Tasks[Pred4 UID],Tasks[[#This Row],[UID]])))</f>
        <v>0</v>
      </c>
      <c r="CZ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0" s="101" t="str">
        <f aca="false">IF(NOT(Tasks[[#This Row],[_IsLeaf]]=1),"",IF(N(Tasks[[#This Row],[Duration]])&lt;=0,Tasks[[#This Row],[_LeafLateFinish]],WORKDAY.INTL(Tasks[[#This Row],[_LeafLateFinish]],-(Tasks[[#This Row],[Duration]]-1),WorkWeek,Holidays)))</f>
        <v/>
      </c>
      <c r="DC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0" s="100" t="b">
        <f aca="false">AND(Tasks[[#This Row],[_IsLeaf]]=1,Tasks[[#This Row],[_LeafProgress]]&lt;1,N(Tasks[[#This Row],[_LeafTotalSlack]])&lt;=CriticalSlackDays)</f>
        <v>0</v>
      </c>
      <c r="DE50" s="41" t="n">
        <f aca="false">IF(AND(Tasks[[#This Row],[_IsLeaf]]=1,Tasks[[#This Row],[_ConstraintCode]]=1,Tasks[[#This Row],[Mode]]&lt;&gt;"Manual",N(Tasks[[#This Row],[Actual Start]])=0),MAX(0,N(Tasks[[#This Row],[Free Slack]])),0)</f>
        <v>0</v>
      </c>
      <c r="DF50" s="101" t="str">
        <f aca="false">IF(NOT(Tasks[[#This Row],[_IsLeaf]]=1),"",IF(Tasks[[#This Row],[_AlapShift]]=0,Tasks[[#This Row],[_LeafCalcStart]],WORKDAY.INTL(Tasks[[#This Row],[_LeafCalcStart]],Tasks[[#This Row],[_AlapShift]],WorkWeek,Holidays)))</f>
        <v/>
      </c>
      <c r="DG50" s="101" t="str">
        <f aca="false">IF(NOT(Tasks[[#This Row],[_IsLeaf]]=1),"",IF(Tasks[[#This Row],[_AlapShift]]=0,Tasks[[#This Row],[_LeafCalcFinish]],WORKDAY.INTL(Tasks[[#This Row],[_LeafCalcFinish]],Tasks[[#This Row],[_AlapShift]],WorkWeek,Holidays)))</f>
        <v/>
      </c>
      <c r="DH50" s="101" t="str">
        <f aca="false">IF(NOT(Tasks[[#This Row],[_IsLeaf]]=1),"",IF(Tasks[[#This Row],[_AlapShift]]=0,Tasks[[#This Row],[_LeafFcstStart]],WORKDAY.INTL(Tasks[[#This Row],[_LeafFcstStart]],Tasks[[#This Row],[_AlapShift]],WorkWeek,Holidays)))</f>
        <v/>
      </c>
      <c r="DI50" s="101" t="str">
        <f aca="false">IF(NOT(Tasks[[#This Row],[_IsLeaf]]=1),"",IF(Tasks[[#This Row],[_AlapShift]]=0,Tasks[[#This Row],[_LeafFcstFinish]],WORKDAY.INTL(Tasks[[#This Row],[_LeafFcstFinish]],Tasks[[#This Row],[_AlapShift]],WorkWeek,Holidays)))</f>
        <v/>
      </c>
      <c r="DJ50" s="101" t="str">
        <f aca="false">IF(Tasks[[#This Row],[Task Name]]="","",IF(Tasks[[#This Row],[_IsSummary]],MIN(INDEX(Tasks[_ShownCalcStart],Tasks[[#This Row],[_Row]]+1):INDEX(Tasks[_ShownCalcStart],Tasks[[#This Row],[_Row]]+Tasks[[#This Row],[_Descendants]])),Tasks[[#This Row],[_ShownCalcStart]]))</f>
        <v/>
      </c>
      <c r="DK50" s="101" t="str">
        <f aca="false">IF(Tasks[[#This Row],[Task Name]]="","",IF(Tasks[[#This Row],[_IsSummary]],MAX(INDEX(Tasks[_ShownCalcFinish],Tasks[[#This Row],[_Row]]+1):INDEX(Tasks[_ShownCalcFinish],Tasks[[#This Row],[_Row]]+Tasks[[#This Row],[_Descendants]])),Tasks[[#This Row],[_ShownCalcFinish]]))</f>
        <v/>
      </c>
      <c r="D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0" s="41" t="n">
        <f aca="false">IF(AND(Tasks[[#This Row],[_IsLeaf]]=1,Tasks[[#This Row],[_LeafTotalWork]]&gt;0),NETWORKDAYS.INTL(ProjectStart,Tasks[[#This Row],[_ShownFcstStart]],WorkWeek,Holidays),0)</f>
        <v>0</v>
      </c>
      <c r="DY50" s="41" t="n">
        <f aca="false">IF(AND(Tasks[[#This Row],[_IsLeaf]]=1,Tasks[[#This Row],[_LeafTotalWork]]&gt;0),MAX(Tasks[[#This Row],[_StartWorkday]],NETWORKDAYS.INTL(ProjectStart,Tasks[[#This Row],[_ShownFcstFinish]],WorkWeek,Holidays)),0)</f>
        <v>0</v>
      </c>
      <c r="DZ50" s="41" t="n">
        <f aca="false">IF(AND(Tasks[[#This Row],[_IsLeaf]]=1,Tasks[[#This Row],[_LeafTotalWork]]&gt;0),Tasks[[#This Row],[_LeafWork]]/(Tasks[[#This Row],[_FinishWorkday]]-Tasks[[#This Row],[_StartWorkday]]+1),0)</f>
        <v>0</v>
      </c>
      <c r="EA50" s="41" t="n">
        <f aca="false">Tasks[[#This Row],[_WorkPerWorkday]]*(Tasks[[#This Row],[_StartWorkday]]-1)</f>
        <v>-0</v>
      </c>
      <c r="EB50" s="41" t="n">
        <f aca="false">IF(Tasks[[#This Row],[_IsLeaf]]=1,MAX(N(Tasks[[#This Row],[Duration]]),0.1),0)</f>
        <v>0</v>
      </c>
      <c r="EC50" s="41" t="n">
        <f aca="false">Tasks[[#This Row],[_WeightDur]]*Tasks[[#This Row],[_LeafProgress]]</f>
        <v>0</v>
      </c>
      <c r="ED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0" s="41" t="str">
        <f aca="false">IF(AND(Tasks[[#This Row],[_IsLeaf]]=1,N(Tasks[[#This Row],[Duration]])=0,Tasks[[#This Row],[_LeafProgress]]&lt;1),Tasks[[#This Row],[_ShownFcstFinish]]+Tasks[[#This Row],[_Row]]/100000,"")</f>
        <v/>
      </c>
      <c r="EF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0" s="41" t="n">
        <f aca="false">IF(NOT(Tasks[[#This Row],[_IsLeaf]]=1),0,IF(Tasks[[#This Row],[Baseline Cost]]="",Tasks[[#This Row],[_LeafTotalCost]],N(Tasks[[#This Row],[Baseline Cost]])))</f>
        <v>0</v>
      </c>
      <c r="EH50" s="41" t="n">
        <f aca="false">Tasks[[#This Row],[_LeafBudget]]*Tasks[[#This Row],[_PlannedPct]]</f>
        <v>0</v>
      </c>
      <c r="EI50" s="41" t="n">
        <f aca="false">Tasks[[#This Row],[_LeafBudget]]*Tasks[[#This Row],[_LeafProgress]]</f>
        <v>0</v>
      </c>
      <c r="EJ50" s="41" t="n">
        <f aca="false">IF(NOT(Tasks[[#This Row],[_IsLeaf]]=1),0,IF(Tasks[[#This Row],[Actual Cost]]="",Tasks[[#This Row],[_LeafTotalCost]]*Tasks[[#This Row],[_LeafProgress]],N(Tasks[[#This Row],[Actual Cost]])))</f>
        <v>0</v>
      </c>
      <c r="EK50" s="41" t="str">
        <f aca="false">IF(Tasks[[#This Row],[Task Name]]="","",LEFT(Tasks[[#This Row],[WBS]],FIND(".",Tasks[[#This Row],[WBS]]&amp;".")-1))</f>
        <v/>
      </c>
      <c r="EL50" s="41" t="str">
        <f aca="false">IF(AND(Tasks[[#This Row],[Task Name]]&lt;&gt;"",Tasks[[#This Row],[_Level]]=1),Tasks[[#This Row],[_Row]],"")</f>
        <v/>
      </c>
      <c r="EM50" s="41" t="str">
        <f aca="false">IF(AND(Tasks[[#This Row],[_IsLeaf]]=1,N(Tasks[[#This Row],[Duration]])=0),Tasks[[#This Row],[Planned Finish]]+Tasks[[#This Row],[_Row]]/100000,"")</f>
        <v/>
      </c>
      <c r="EN50" s="41" t="str">
        <f aca="false">IF(AND(Tasks[[#This Row],[_IsLeaf]]=1,Tasks[[#This Row],[_LeafProgress]]&lt;1,OR(N(Tasks[[#This Row],[Finish Var]])&gt;0,Tasks[[#This Row],[Status]]="Late Start")),MAX(0,Tasks[[#This Row],[Finish Var]])+1-Tasks[[#This Row],[_Row]]/1000000,"")</f>
        <v/>
      </c>
      <c r="EO50" s="41" t="str">
        <f aca="false">IF(AND(Tasks[[#This Row],[_IsLeaf]]=1,N(Tasks[[#This Row],[Actual Start]])=0,Tasks[[#This Row],[_ShownFcstStart]]&gt;=StatusDate,Tasks[[#This Row],[_ShownFcstStart]]&lt;=LookaheadEnd),Tasks[[#This Row],[_ShownFcstStart]]+Tasks[[#This Row],[_Row]]/100000,"")</f>
        <v/>
      </c>
      <c r="EP50" s="41" t="str">
        <f aca="false">IF(AND(Tasks[[#This Row],[_IsLeaf]]=1,Tasks[[#This Row],[_LeafProgress]]&lt;1,Tasks[[#This Row],[_ShownFcstFinish]]&gt;=StatusDate,Tasks[[#This Row],[_ShownFcstFinish]]&lt;=LookaheadEnd),Tasks[[#This Row],[_ShownFcstFinish]]+Tasks[[#This Row],[_Row]]/100000,"")</f>
        <v/>
      </c>
      <c r="EQ50" s="41" t="str">
        <f aca="false">IF(Tasks[[#This Row],[_LeafCritical]],Tasks[[#This Row],[_ShownFcstStart]]+Tasks[[#This Row],[_Row]]/100000,"")</f>
        <v/>
      </c>
      <c r="ER50" s="41" t="n">
        <f aca="false">Tasks[[#This Row],[_LeafWork]]*Tasks[[#This Row],[_LeafProgress]]</f>
        <v>0</v>
      </c>
      <c r="ES50" s="101" t="str">
        <f aca="false">IF(AND(Tasks[[#This Row],[_IsLeaf]]=1,Tasks[[#This Row],[_LeafProgress]]&gt;=1),IF(N(Tasks[[#This Row],[Actual Finish]])&gt;0,Tasks[[#This Row],[Actual Finish]],Tasks[[#This Row],[_ShownFcstFinish]]),"")</f>
        <v/>
      </c>
      <c r="ET50" s="41" t="n">
        <f aca="false">IF(Tasks[[#This Row],[_IsLeaf]]=1,N(Tasks[[#This Row],[Story Points]]),0)</f>
        <v>0</v>
      </c>
      <c r="EU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29"/>
      <c r="O51" s="29"/>
      <c r="P51" s="29"/>
      <c r="Q51" s="29"/>
      <c r="R51" s="29"/>
      <c r="S51" s="29"/>
      <c r="T51" s="30"/>
      <c r="U51" s="75"/>
      <c r="V51" s="75"/>
      <c r="W51" s="25" t="str">
        <f aca="false">IF(Tasks[[#This Row],[Task Name]]="","",IF(N(Tasks[[#This Row],[Baseline Start]])&gt;0,Tasks[[#This Row],[Baseline Start]],Tasks[[#This Row],[_CalcStart]]))</f>
        <v/>
      </c>
      <c r="X51" s="25" t="str">
        <f aca="false">IF(Tasks[[#This Row],[Task Name]]="","",IF(N(Tasks[[#This Row],[Baseline Finish]])&gt;0,Tasks[[#This Row],[Baseline Finish]],Tasks[[#This Row],[_CalcFinish]]))</f>
        <v/>
      </c>
      <c r="Y51" s="75"/>
      <c r="Z51" s="75"/>
      <c r="AA51" s="25" t="str">
        <f aca="false">IF(Tasks[[#This Row],[Task Name]]="","",IF(Tasks[[#This Row],[_IsSummary]],MIN(INDEX(Tasks[_ShownFcstStart],Tasks[[#This Row],[_Row]]+1):INDEX(Tasks[_ShownFcstStart],Tasks[[#This Row],[_Row]]+Tasks[[#This Row],[_Descendants]])),Tasks[[#This Row],[_ShownFcstStart]]))</f>
        <v/>
      </c>
      <c r="AB51" s="25" t="str">
        <f aca="false">IF(Tasks[[#This Row],[Task Name]]="","",IF(Tasks[[#This Row],[_IsSummary]],MAX(INDEX(Tasks[_ShownFcstFinish],Tasks[[#This Row],[_Row]]+1):INDEX(Tasks[_ShownFcstFinish],Tasks[[#This Row],[_Row]]+Tasks[[#This Row],[_Descendants]])),Tasks[[#This Row],[_ShownFcstFinish]]))</f>
        <v/>
      </c>
      <c r="AC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1" s="25" t="str">
        <f aca="false">IF(Tasks[[#This Row],[Task Name]]="","",IF(Tasks[[#This Row],[_IsSummary]],MIN(INDEX(Tasks[_LeafLateStart],Tasks[[#This Row],[_Row]]+1):INDEX(Tasks[_LeafLateStart],Tasks[[#This Row],[_Row]]+Tasks[[#This Row],[_Descendants]])),Tasks[[#This Row],[_LeafLateStart]]))</f>
        <v/>
      </c>
      <c r="AF51" s="25" t="str">
        <f aca="false">IF(Tasks[[#This Row],[Task Name]]="","",IF(Tasks[[#This Row],[_IsSummary]],MAX(INDEX(Tasks[_LeafLateFinish],Tasks[[#This Row],[_Row]]+1):INDEX(Tasks[_LeafLateFinish],Tasks[[#This Row],[_Row]]+Tasks[[#This Row],[_Descendants]])),Tasks[[#This Row],[_LeafLateFinish]]))</f>
        <v/>
      </c>
      <c r="AG51" s="28" t="str">
        <f aca="false">IF(Tasks[[#This Row],[Task Name]]="","",IF(Tasks[[#This Row],[_IsSummary]],MIN(INDEX(Tasks[_LeafTotalSlack],Tasks[[#This Row],[_Row]]+1):INDEX(Tasks[_LeafTotalSlack],Tasks[[#This Row],[_Row]]+Tasks[[#This Row],[_Descendants]])),Tasks[[#This Row],[_LeafTotalSlack]]))</f>
        <v/>
      </c>
      <c r="AH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1" s="28" t="str">
        <f aca="false">IF(Tasks[[#This Row],[Task Name]]="","",IF(IF(Tasks[[#This Row],[_IsSummary]],COUNTIF(INDEX(Tasks[_LeafCritical],Tasks[[#This Row],[_Row]]+1):INDEX(Tasks[_LeafCritical],Tasks[[#This Row],[_Row]]+Tasks[[#This Row],[_Descendants]]),TRUE())&gt;0,Tasks[[#This Row],[_LeafCritical]]),"Yes",""))</f>
        <v/>
      </c>
      <c r="AJ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1" s="89"/>
      <c r="AM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1" s="28" t="str">
        <f aca="false">IF(Tasks[[#This Row],[Task Name]]="","",IF(Tasks[[#This Row],[Progress]]&gt;=1,"Complete",IF(OR(N(Tasks[[#This Row],[Actual Start]])&gt;0,Tasks[[#This Row],[Progress]]&gt;0),IF(Tasks[[#This Row],[Finish Var]]&gt;0,"Behind","In Progress"),IF(Tasks[[#This Row],[Planned Start]]&lt;StatusDate,"Late Start","Not Started"))))</f>
        <v/>
      </c>
      <c r="AO51" s="30"/>
      <c r="AP51" s="89"/>
      <c r="AQ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1" s="96" t="str">
        <f aca="false">IF(Tasks[[#This Row],[Task Name]]="","",IF(Tasks[[#This Row],[_IsSummary]],SUM(INDEX(Tasks[_LeafTotalWork],Tasks[[#This Row],[_Row]]+1):INDEX(Tasks[_LeafTotalWork],Tasks[[#This Row],[_Row]]+Tasks[[#This Row],[_Descendants]])),Tasks[[#This Row],[_LeafTotalWork]]))</f>
        <v/>
      </c>
      <c r="AT51" s="97" t="str">
        <f aca="false">IF(Tasks[[#This Row],[Task Name]]="","",IF(Tasks[[#This Row],[_IsSummary]],SUM(INDEX(Tasks[_LeafTotalCost],Tasks[[#This Row],[_Row]]+1):INDEX(Tasks[_LeafTotalCost],Tasks[[#This Row],[_Row]]+Tasks[[#This Row],[_Descendants]])),Tasks[[#This Row],[_LeafTotalCost]]))</f>
        <v/>
      </c>
      <c r="AU51" s="98"/>
      <c r="AV51" s="29"/>
      <c r="AW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1" s="83"/>
      <c r="AY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1" s="30"/>
      <c r="BA51" s="25" t="str">
        <f aca="false">IF(Tasks[[#This Row],[Task Name]]="","",Tasks[[#This Row],[Forecast Start]])</f>
        <v/>
      </c>
      <c r="BB51" s="25" t="str">
        <f aca="false">IF(Tasks[[#This Row],[Task Name]]="","",Tasks[[#This Row],[Forecast Finish]])</f>
        <v/>
      </c>
      <c r="BC51" s="28" t="str">
        <f aca="false">IF(Tasks[[#This Row],[Task Name]]="","",IF(Tasks[[#This Row],[_IsSummary]],NETWORKDAYS.INTL(Tasks[[#This Row],[Forecast Start]],Tasks[[#This Row],[Forecast Finish]],WorkWeek,Holidays),N(Tasks[[#This Row],[Duration]])))</f>
        <v/>
      </c>
      <c r="BD51" s="96" t="str">
        <f aca="false">IF(Tasks[[#This Row],[Task Name]]="","",Tasks[[#This Row],[Work]])</f>
        <v/>
      </c>
      <c r="BE51" s="97" t="str">
        <f aca="false">IF(Tasks[[#This Row],[Task Name]]="","",Tasks[[#This Row],[Cost]])</f>
        <v/>
      </c>
      <c r="BF51" s="75"/>
      <c r="BG51" s="75"/>
      <c r="BH51" s="29"/>
      <c r="BI51" s="99"/>
      <c r="BJ51" s="98"/>
      <c r="BK51" s="28" t="str">
        <f aca="false">IF(OR(Tasks[[#This Row],[Task Name]]="",Tasks[[#This Row],[Baseline Duration]]=""),"",Tasks[[#This Row],[BL Source Duration]]-N(Tasks[[#This Row],[Baseline Duration]]))</f>
        <v/>
      </c>
      <c r="BL51" s="96" t="str">
        <f aca="false">IF(OR(Tasks[[#This Row],[Task Name]]="",Tasks[[#This Row],[Baseline Work]]=""),"",Tasks[[#This Row],[Work]]-N(Tasks[[#This Row],[Baseline Work]]))</f>
        <v/>
      </c>
      <c r="BM51" s="97" t="str">
        <f aca="false">IF(OR(Tasks[[#This Row],[Task Name]]="",Tasks[[#This Row],[Baseline Cost]]=""),"",Tasks[[#This Row],[Cost]]-N(Tasks[[#This Row],[Baseline Cost]]))</f>
        <v/>
      </c>
      <c r="BN51" s="97" t="str">
        <f aca="false">IF(Tasks[[#This Row],[Task Name]]="","",IF(Tasks[[#This Row],[_IsSummary]],SUM(INDEX(Tasks[_LeafBudget],Tasks[[#This Row],[_Row]]+1):INDEX(Tasks[_LeafBudget],Tasks[[#This Row],[_Row]]+Tasks[[#This Row],[_Descendants]])),Tasks[[#This Row],[_LeafBudget]]))</f>
        <v/>
      </c>
      <c r="BO51" s="97" t="str">
        <f aca="false">IF(Tasks[[#This Row],[Task Name]]="","",IF(Tasks[[#This Row],[_IsSummary]],SUM(INDEX(Tasks[_LeafPV],Tasks[[#This Row],[_Row]]+1):INDEX(Tasks[_LeafPV],Tasks[[#This Row],[_Row]]+Tasks[[#This Row],[_Descendants]])),Tasks[[#This Row],[_LeafPV]]))</f>
        <v/>
      </c>
      <c r="BP51" s="97" t="str">
        <f aca="false">IF(Tasks[[#This Row],[Task Name]]="","",IF(Tasks[[#This Row],[_IsSummary]],SUM(INDEX(Tasks[_LeafEV],Tasks[[#This Row],[_Row]]+1):INDEX(Tasks[_LeafEV],Tasks[[#This Row],[_Row]]+Tasks[[#This Row],[_Descendants]])),Tasks[[#This Row],[_LeafEV]]))</f>
        <v/>
      </c>
      <c r="BQ51" s="97" t="str">
        <f aca="false">IF(Tasks[[#This Row],[Task Name]]="","",IF(Tasks[[#This Row],[_IsSummary]],SUM(INDEX(Tasks[_LeafAC],Tasks[[#This Row],[_Row]]+1):INDEX(Tasks[_LeafAC],Tasks[[#This Row],[_Row]]+Tasks[[#This Row],[_Descendants]])),Tasks[[#This Row],[_LeafAC]]))</f>
        <v/>
      </c>
      <c r="BR51" s="41" t="str">
        <f aca="false">IF(Tasks[[#This Row],[Task Name]]="","",MAX(1,N(Tasks[[#This Row],[Level]])))</f>
        <v/>
      </c>
      <c r="BS51" s="41" t="n">
        <f aca="false">ROW()-ROW(Tasks[[#Headers],[ID]])</f>
        <v>46</v>
      </c>
      <c r="BT51" s="41" t="n">
        <f aca="false">IF(OR(Tasks[[#This Row],[Task Name]]="",Tasks[[#This Row],[_Level]]&lt;=1),0,IFERROR(LOOKUP(2,1/(Tasks[[#Headers],[_Level]]:Tasks[[#This Row],[_Level]]=Tasks[[#This Row],[_Level]]-1),ROW(Tasks[[#Headers],[_Level]]:Tasks[[#This Row],[_Level]])),0))</f>
        <v>0</v>
      </c>
      <c r="BU51" s="41" t="n">
        <f aca="false">IFERROR(N(INDEX(Tasks[_Level],Tasks[[#This Row],[_Row]]+1)),0)</f>
        <v>0</v>
      </c>
      <c r="BV51" s="100" t="b">
        <f aca="false">AND(Tasks[[#This Row],[Task Name]]&lt;&gt;"",Tasks[[#This Row],[_NextLevel]]&gt;Tasks[[#This Row],[_Level]])</f>
        <v>0</v>
      </c>
      <c r="BW51" s="41" t="n">
        <f aca="false">IF(Tasks[[#This Row],[_IsSummary]],COUNTIF(Tasks[WBS],Tasks[[#This Row],[WBS]]&amp;".*"),0)</f>
        <v>0</v>
      </c>
      <c r="BX51" s="41" t="n">
        <f aca="false">IF(AND(Tasks[[#This Row],[Task Name]]&lt;&gt;"",NOT(Tasks[[#This Row],[_IsSummary]])),1,0)</f>
        <v>0</v>
      </c>
      <c r="BY51" s="41" t="n">
        <f aca="false">IF(N(Tasks[[#This Row],[Pred1 UID]])=0,0,IFERROR(MATCH(Tasks[[#This Row],[Pred1 UID]],Tasks[UID],0),-1))</f>
        <v>0</v>
      </c>
      <c r="BZ51" s="41" t="n">
        <f aca="false">IF(N(Tasks[[#This Row],[Pred2 UID]])=0,0,IFERROR(MATCH(Tasks[[#This Row],[Pred2 UID]],Tasks[UID],0),-1))</f>
        <v>0</v>
      </c>
      <c r="CA51" s="41" t="n">
        <f aca="false">IF(N(Tasks[[#This Row],[Pred3 UID]])=0,0,IFERROR(MATCH(Tasks[[#This Row],[Pred3 UID]],Tasks[UID],0),-1))</f>
        <v>0</v>
      </c>
      <c r="CB51" s="41" t="n">
        <f aca="false">IF(N(Tasks[[#This Row],[Pred4 UID]])=0,0,IFERROR(MATCH(Tasks[[#This Row],[Pred4 UID]],Tasks[UID],0),-1))</f>
        <v>0</v>
      </c>
      <c r="CC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1" s="101" t="n">
        <f aca="false">IF(OR(Tasks[[#This Row],[_ConstraintCode]]=2,Tasks[[#This Row],[_ConstraintCode]]=3,Tasks[[#This Row],[_ConstraintCode]]=4,Tasks[[#This Row],[_ConstraintCode]]=6),Tasks[[#This Row],[_ConstraintStart]],0)</f>
        <v>0</v>
      </c>
      <c r="CF51" s="101" t="n">
        <f aca="false">IF(OR(Tasks[[#This Row],[_ConstraintCode]]=2,Tasks[[#This Row],[_ConstraintCode]]=3,Tasks[[#This Row],[_ConstraintCode]]=5,Tasks[[#This Row],[_ConstraintCode]]=7),Tasks[[#This Row],[_ConstraintStart]],2958465)</f>
        <v>2958465</v>
      </c>
      <c r="CG5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1" s="101" t="str">
        <f aca="false">IF(NOT(Tasks[[#This Row],[_IsLeaf]]=1),"",IF(N(Tasks[[#This Row],[Duration]])&lt;=0,Tasks[[#This Row],[_LeafCalcStart]],WORKDAY.INTL(Tasks[[#This Row],[_LeafCalcStart]],Tasks[[#This Row],[Duration]]-1,WorkWeek,Holidays)))</f>
        <v/>
      </c>
      <c r="CI5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1" s="41" t="n">
        <f aca="false">IF(NOT(Tasks[[#This Row],[_IsLeaf]]=1),0,IF(N(Tasks[[#This Row],[Actual Finish]])&gt;0,1,MIN(1,N(Tasks[[#This Row],[% Complete]]))))</f>
        <v>0</v>
      </c>
      <c r="CL51" s="41" t="n">
        <f aca="false">IF(OR(NOT(Tasks[[#This Row],[_IsLeaf]]=1),Tasks[[#This Row],[Resource]]=""),0,N(Tasks[[#This Row],[Duration]])*HoursPerDay*IF(Tasks[[#This Row],[Units]]="",DefaultUnits,Tasks[[#This Row],[Units]]))</f>
        <v>0</v>
      </c>
      <c r="CM51" s="41" t="n">
        <f aca="false">IF(Tasks[[#This Row],[_LeafWork]]=0,0,Tasks[[#This Row],[_LeafWork]]*IFERROR(INDEX(res_Rate,MATCH(Tasks[[#This Row],[Resource]],res_Name,0)),0))</f>
        <v>0</v>
      </c>
      <c r="CN51" s="41" t="n">
        <f aca="false">Tasks[[#This Row],[_LeafWork]]+IF(Tasks[[#This Row],[_IsLeaf]]=1,SUMIFS(asg_Work,asg_TaskUID,Tasks[[#This Row],[UID]],asg_Valid,1),0)</f>
        <v>0</v>
      </c>
      <c r="CO51" s="41" t="n">
        <f aca="false">Tasks[[#This Row],[_LeafCost]]+IF(Tasks[[#This Row],[_IsLeaf]]=1,SUMIFS(asg_Cost,asg_TaskUID,Tasks[[#This Row],[UID]],asg_Valid,1),0)</f>
        <v>0</v>
      </c>
      <c r="CP51" s="41" t="n">
        <f aca="false">IF(Tasks[[#This Row],[_LeafTotalCost]]=0,Tasks[[#This Row],[_LeafAC]],Tasks[[#This Row],[_LeafAC]]*Tasks[[#This Row],[_LeafCost]]/Tasks[[#This Row],[_LeafTotalCost]])</f>
        <v>0</v>
      </c>
      <c r="CQ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1" s="41" t="n">
        <f aca="false">IF(NOT(Tasks[[#This Row],[_IsLeaf]]=1),0,MAX(_xlfn.MAXIFS(Tasks[_Row],Tasks[Pred1 UID],Tasks[[#This Row],[UID]]),_xlfn.MAXIFS(Tasks[_Row],Tasks[Pred2 UID],Tasks[[#This Row],[UID]]),_xlfn.MAXIFS(Tasks[_Row],Tasks[Pred3 UID],Tasks[[#This Row],[UID]]),_xlfn.MAXIFS(Tasks[_Row],Tasks[Pred4 UID],Tasks[[#This Row],[UID]])))</f>
        <v>0</v>
      </c>
      <c r="CZ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1" s="101" t="str">
        <f aca="false">IF(NOT(Tasks[[#This Row],[_IsLeaf]]=1),"",IF(N(Tasks[[#This Row],[Duration]])&lt;=0,Tasks[[#This Row],[_LeafLateFinish]],WORKDAY.INTL(Tasks[[#This Row],[_LeafLateFinish]],-(Tasks[[#This Row],[Duration]]-1),WorkWeek,Holidays)))</f>
        <v/>
      </c>
      <c r="DC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1" s="100" t="b">
        <f aca="false">AND(Tasks[[#This Row],[_IsLeaf]]=1,Tasks[[#This Row],[_LeafProgress]]&lt;1,N(Tasks[[#This Row],[_LeafTotalSlack]])&lt;=CriticalSlackDays)</f>
        <v>0</v>
      </c>
      <c r="DE51" s="41" t="n">
        <f aca="false">IF(AND(Tasks[[#This Row],[_IsLeaf]]=1,Tasks[[#This Row],[_ConstraintCode]]=1,Tasks[[#This Row],[Mode]]&lt;&gt;"Manual",N(Tasks[[#This Row],[Actual Start]])=0),MAX(0,N(Tasks[[#This Row],[Free Slack]])),0)</f>
        <v>0</v>
      </c>
      <c r="DF51" s="101" t="str">
        <f aca="false">IF(NOT(Tasks[[#This Row],[_IsLeaf]]=1),"",IF(Tasks[[#This Row],[_AlapShift]]=0,Tasks[[#This Row],[_LeafCalcStart]],WORKDAY.INTL(Tasks[[#This Row],[_LeafCalcStart]],Tasks[[#This Row],[_AlapShift]],WorkWeek,Holidays)))</f>
        <v/>
      </c>
      <c r="DG51" s="101" t="str">
        <f aca="false">IF(NOT(Tasks[[#This Row],[_IsLeaf]]=1),"",IF(Tasks[[#This Row],[_AlapShift]]=0,Tasks[[#This Row],[_LeafCalcFinish]],WORKDAY.INTL(Tasks[[#This Row],[_LeafCalcFinish]],Tasks[[#This Row],[_AlapShift]],WorkWeek,Holidays)))</f>
        <v/>
      </c>
      <c r="DH51" s="101" t="str">
        <f aca="false">IF(NOT(Tasks[[#This Row],[_IsLeaf]]=1),"",IF(Tasks[[#This Row],[_AlapShift]]=0,Tasks[[#This Row],[_LeafFcstStart]],WORKDAY.INTL(Tasks[[#This Row],[_LeafFcstStart]],Tasks[[#This Row],[_AlapShift]],WorkWeek,Holidays)))</f>
        <v/>
      </c>
      <c r="DI51" s="101" t="str">
        <f aca="false">IF(NOT(Tasks[[#This Row],[_IsLeaf]]=1),"",IF(Tasks[[#This Row],[_AlapShift]]=0,Tasks[[#This Row],[_LeafFcstFinish]],WORKDAY.INTL(Tasks[[#This Row],[_LeafFcstFinish]],Tasks[[#This Row],[_AlapShift]],WorkWeek,Holidays)))</f>
        <v/>
      </c>
      <c r="DJ51" s="101" t="str">
        <f aca="false">IF(Tasks[[#This Row],[Task Name]]="","",IF(Tasks[[#This Row],[_IsSummary]],MIN(INDEX(Tasks[_ShownCalcStart],Tasks[[#This Row],[_Row]]+1):INDEX(Tasks[_ShownCalcStart],Tasks[[#This Row],[_Row]]+Tasks[[#This Row],[_Descendants]])),Tasks[[#This Row],[_ShownCalcStart]]))</f>
        <v/>
      </c>
      <c r="DK51" s="101" t="str">
        <f aca="false">IF(Tasks[[#This Row],[Task Name]]="","",IF(Tasks[[#This Row],[_IsSummary]],MAX(INDEX(Tasks[_ShownCalcFinish],Tasks[[#This Row],[_Row]]+1):INDEX(Tasks[_ShownCalcFinish],Tasks[[#This Row],[_Row]]+Tasks[[#This Row],[_Descendants]])),Tasks[[#This Row],[_ShownCalcFinish]]))</f>
        <v/>
      </c>
      <c r="D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1" s="41" t="n">
        <f aca="false">IF(AND(Tasks[[#This Row],[_IsLeaf]]=1,Tasks[[#This Row],[_LeafTotalWork]]&gt;0),NETWORKDAYS.INTL(ProjectStart,Tasks[[#This Row],[_ShownFcstStart]],WorkWeek,Holidays),0)</f>
        <v>0</v>
      </c>
      <c r="DY51" s="41" t="n">
        <f aca="false">IF(AND(Tasks[[#This Row],[_IsLeaf]]=1,Tasks[[#This Row],[_LeafTotalWork]]&gt;0),MAX(Tasks[[#This Row],[_StartWorkday]],NETWORKDAYS.INTL(ProjectStart,Tasks[[#This Row],[_ShownFcstFinish]],WorkWeek,Holidays)),0)</f>
        <v>0</v>
      </c>
      <c r="DZ51" s="41" t="n">
        <f aca="false">IF(AND(Tasks[[#This Row],[_IsLeaf]]=1,Tasks[[#This Row],[_LeafTotalWork]]&gt;0),Tasks[[#This Row],[_LeafWork]]/(Tasks[[#This Row],[_FinishWorkday]]-Tasks[[#This Row],[_StartWorkday]]+1),0)</f>
        <v>0</v>
      </c>
      <c r="EA51" s="41" t="n">
        <f aca="false">Tasks[[#This Row],[_WorkPerWorkday]]*(Tasks[[#This Row],[_StartWorkday]]-1)</f>
        <v>-0</v>
      </c>
      <c r="EB51" s="41" t="n">
        <f aca="false">IF(Tasks[[#This Row],[_IsLeaf]]=1,MAX(N(Tasks[[#This Row],[Duration]]),0.1),0)</f>
        <v>0</v>
      </c>
      <c r="EC51" s="41" t="n">
        <f aca="false">Tasks[[#This Row],[_WeightDur]]*Tasks[[#This Row],[_LeafProgress]]</f>
        <v>0</v>
      </c>
      <c r="ED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1" s="41" t="str">
        <f aca="false">IF(AND(Tasks[[#This Row],[_IsLeaf]]=1,N(Tasks[[#This Row],[Duration]])=0,Tasks[[#This Row],[_LeafProgress]]&lt;1),Tasks[[#This Row],[_ShownFcstFinish]]+Tasks[[#This Row],[_Row]]/100000,"")</f>
        <v/>
      </c>
      <c r="EF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1" s="41" t="n">
        <f aca="false">IF(NOT(Tasks[[#This Row],[_IsLeaf]]=1),0,IF(Tasks[[#This Row],[Baseline Cost]]="",Tasks[[#This Row],[_LeafTotalCost]],N(Tasks[[#This Row],[Baseline Cost]])))</f>
        <v>0</v>
      </c>
      <c r="EH51" s="41" t="n">
        <f aca="false">Tasks[[#This Row],[_LeafBudget]]*Tasks[[#This Row],[_PlannedPct]]</f>
        <v>0</v>
      </c>
      <c r="EI51" s="41" t="n">
        <f aca="false">Tasks[[#This Row],[_LeafBudget]]*Tasks[[#This Row],[_LeafProgress]]</f>
        <v>0</v>
      </c>
      <c r="EJ51" s="41" t="n">
        <f aca="false">IF(NOT(Tasks[[#This Row],[_IsLeaf]]=1),0,IF(Tasks[[#This Row],[Actual Cost]]="",Tasks[[#This Row],[_LeafTotalCost]]*Tasks[[#This Row],[_LeafProgress]],N(Tasks[[#This Row],[Actual Cost]])))</f>
        <v>0</v>
      </c>
      <c r="EK51" s="41" t="str">
        <f aca="false">IF(Tasks[[#This Row],[Task Name]]="","",LEFT(Tasks[[#This Row],[WBS]],FIND(".",Tasks[[#This Row],[WBS]]&amp;".")-1))</f>
        <v/>
      </c>
      <c r="EL51" s="41" t="str">
        <f aca="false">IF(AND(Tasks[[#This Row],[Task Name]]&lt;&gt;"",Tasks[[#This Row],[_Level]]=1),Tasks[[#This Row],[_Row]],"")</f>
        <v/>
      </c>
      <c r="EM51" s="41" t="str">
        <f aca="false">IF(AND(Tasks[[#This Row],[_IsLeaf]]=1,N(Tasks[[#This Row],[Duration]])=0),Tasks[[#This Row],[Planned Finish]]+Tasks[[#This Row],[_Row]]/100000,"")</f>
        <v/>
      </c>
      <c r="EN51" s="41" t="str">
        <f aca="false">IF(AND(Tasks[[#This Row],[_IsLeaf]]=1,Tasks[[#This Row],[_LeafProgress]]&lt;1,OR(N(Tasks[[#This Row],[Finish Var]])&gt;0,Tasks[[#This Row],[Status]]="Late Start")),MAX(0,Tasks[[#This Row],[Finish Var]])+1-Tasks[[#This Row],[_Row]]/1000000,"")</f>
        <v/>
      </c>
      <c r="EO51" s="41" t="str">
        <f aca="false">IF(AND(Tasks[[#This Row],[_IsLeaf]]=1,N(Tasks[[#This Row],[Actual Start]])=0,Tasks[[#This Row],[_ShownFcstStart]]&gt;=StatusDate,Tasks[[#This Row],[_ShownFcstStart]]&lt;=LookaheadEnd),Tasks[[#This Row],[_ShownFcstStart]]+Tasks[[#This Row],[_Row]]/100000,"")</f>
        <v/>
      </c>
      <c r="EP51" s="41" t="str">
        <f aca="false">IF(AND(Tasks[[#This Row],[_IsLeaf]]=1,Tasks[[#This Row],[_LeafProgress]]&lt;1,Tasks[[#This Row],[_ShownFcstFinish]]&gt;=StatusDate,Tasks[[#This Row],[_ShownFcstFinish]]&lt;=LookaheadEnd),Tasks[[#This Row],[_ShownFcstFinish]]+Tasks[[#This Row],[_Row]]/100000,"")</f>
        <v/>
      </c>
      <c r="EQ51" s="41" t="str">
        <f aca="false">IF(Tasks[[#This Row],[_LeafCritical]],Tasks[[#This Row],[_ShownFcstStart]]+Tasks[[#This Row],[_Row]]/100000,"")</f>
        <v/>
      </c>
      <c r="ER51" s="41" t="n">
        <f aca="false">Tasks[[#This Row],[_LeafWork]]*Tasks[[#This Row],[_LeafProgress]]</f>
        <v>0</v>
      </c>
      <c r="ES51" s="101" t="str">
        <f aca="false">IF(AND(Tasks[[#This Row],[_IsLeaf]]=1,Tasks[[#This Row],[_LeafProgress]]&gt;=1),IF(N(Tasks[[#This Row],[Actual Finish]])&gt;0,Tasks[[#This Row],[Actual Finish]],Tasks[[#This Row],[_ShownFcstFinish]]),"")</f>
        <v/>
      </c>
      <c r="ET51" s="41" t="n">
        <f aca="false">IF(Tasks[[#This Row],[_IsLeaf]]=1,N(Tasks[[#This Row],[Story Points]]),0)</f>
        <v>0</v>
      </c>
      <c r="EU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29"/>
      <c r="O52" s="29"/>
      <c r="P52" s="29"/>
      <c r="Q52" s="29"/>
      <c r="R52" s="29"/>
      <c r="S52" s="29"/>
      <c r="T52" s="30"/>
      <c r="U52" s="75"/>
      <c r="V52" s="75"/>
      <c r="W52" s="25" t="str">
        <f aca="false">IF(Tasks[[#This Row],[Task Name]]="","",IF(N(Tasks[[#This Row],[Baseline Start]])&gt;0,Tasks[[#This Row],[Baseline Start]],Tasks[[#This Row],[_CalcStart]]))</f>
        <v/>
      </c>
      <c r="X52" s="25" t="str">
        <f aca="false">IF(Tasks[[#This Row],[Task Name]]="","",IF(N(Tasks[[#This Row],[Baseline Finish]])&gt;0,Tasks[[#This Row],[Baseline Finish]],Tasks[[#This Row],[_CalcFinish]]))</f>
        <v/>
      </c>
      <c r="Y52" s="75"/>
      <c r="Z52" s="75"/>
      <c r="AA52" s="25" t="str">
        <f aca="false">IF(Tasks[[#This Row],[Task Name]]="","",IF(Tasks[[#This Row],[_IsSummary]],MIN(INDEX(Tasks[_ShownFcstStart],Tasks[[#This Row],[_Row]]+1):INDEX(Tasks[_ShownFcstStart],Tasks[[#This Row],[_Row]]+Tasks[[#This Row],[_Descendants]])),Tasks[[#This Row],[_ShownFcstStart]]))</f>
        <v/>
      </c>
      <c r="AB52" s="25" t="str">
        <f aca="false">IF(Tasks[[#This Row],[Task Name]]="","",IF(Tasks[[#This Row],[_IsSummary]],MAX(INDEX(Tasks[_ShownFcstFinish],Tasks[[#This Row],[_Row]]+1):INDEX(Tasks[_ShownFcstFinish],Tasks[[#This Row],[_Row]]+Tasks[[#This Row],[_Descendants]])),Tasks[[#This Row],[_ShownFcstFinish]]))</f>
        <v/>
      </c>
      <c r="AC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2" s="25" t="str">
        <f aca="false">IF(Tasks[[#This Row],[Task Name]]="","",IF(Tasks[[#This Row],[_IsSummary]],MIN(INDEX(Tasks[_LeafLateStart],Tasks[[#This Row],[_Row]]+1):INDEX(Tasks[_LeafLateStart],Tasks[[#This Row],[_Row]]+Tasks[[#This Row],[_Descendants]])),Tasks[[#This Row],[_LeafLateStart]]))</f>
        <v/>
      </c>
      <c r="AF52" s="25" t="str">
        <f aca="false">IF(Tasks[[#This Row],[Task Name]]="","",IF(Tasks[[#This Row],[_IsSummary]],MAX(INDEX(Tasks[_LeafLateFinish],Tasks[[#This Row],[_Row]]+1):INDEX(Tasks[_LeafLateFinish],Tasks[[#This Row],[_Row]]+Tasks[[#This Row],[_Descendants]])),Tasks[[#This Row],[_LeafLateFinish]]))</f>
        <v/>
      </c>
      <c r="AG52" s="28" t="str">
        <f aca="false">IF(Tasks[[#This Row],[Task Name]]="","",IF(Tasks[[#This Row],[_IsSummary]],MIN(INDEX(Tasks[_LeafTotalSlack],Tasks[[#This Row],[_Row]]+1):INDEX(Tasks[_LeafTotalSlack],Tasks[[#This Row],[_Row]]+Tasks[[#This Row],[_Descendants]])),Tasks[[#This Row],[_LeafTotalSlack]]))</f>
        <v/>
      </c>
      <c r="AH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2" s="28" t="str">
        <f aca="false">IF(Tasks[[#This Row],[Task Name]]="","",IF(IF(Tasks[[#This Row],[_IsSummary]],COUNTIF(INDEX(Tasks[_LeafCritical],Tasks[[#This Row],[_Row]]+1):INDEX(Tasks[_LeafCritical],Tasks[[#This Row],[_Row]]+Tasks[[#This Row],[_Descendants]]),TRUE())&gt;0,Tasks[[#This Row],[_LeafCritical]]),"Yes",""))</f>
        <v/>
      </c>
      <c r="AJ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2" s="89"/>
      <c r="AM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2" s="28" t="str">
        <f aca="false">IF(Tasks[[#This Row],[Task Name]]="","",IF(Tasks[[#This Row],[Progress]]&gt;=1,"Complete",IF(OR(N(Tasks[[#This Row],[Actual Start]])&gt;0,Tasks[[#This Row],[Progress]]&gt;0),IF(Tasks[[#This Row],[Finish Var]]&gt;0,"Behind","In Progress"),IF(Tasks[[#This Row],[Planned Start]]&lt;StatusDate,"Late Start","Not Started"))))</f>
        <v/>
      </c>
      <c r="AO52" s="30"/>
      <c r="AP52" s="89"/>
      <c r="AQ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2" s="96" t="str">
        <f aca="false">IF(Tasks[[#This Row],[Task Name]]="","",IF(Tasks[[#This Row],[_IsSummary]],SUM(INDEX(Tasks[_LeafTotalWork],Tasks[[#This Row],[_Row]]+1):INDEX(Tasks[_LeafTotalWork],Tasks[[#This Row],[_Row]]+Tasks[[#This Row],[_Descendants]])),Tasks[[#This Row],[_LeafTotalWork]]))</f>
        <v/>
      </c>
      <c r="AT52" s="97" t="str">
        <f aca="false">IF(Tasks[[#This Row],[Task Name]]="","",IF(Tasks[[#This Row],[_IsSummary]],SUM(INDEX(Tasks[_LeafTotalCost],Tasks[[#This Row],[_Row]]+1):INDEX(Tasks[_LeafTotalCost],Tasks[[#This Row],[_Row]]+Tasks[[#This Row],[_Descendants]])),Tasks[[#This Row],[_LeafTotalCost]]))</f>
        <v/>
      </c>
      <c r="AU52" s="98"/>
      <c r="AV52" s="29"/>
      <c r="AW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2" s="83"/>
      <c r="AY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2" s="30"/>
      <c r="BA52" s="25" t="str">
        <f aca="false">IF(Tasks[[#This Row],[Task Name]]="","",Tasks[[#This Row],[Forecast Start]])</f>
        <v/>
      </c>
      <c r="BB52" s="25" t="str">
        <f aca="false">IF(Tasks[[#This Row],[Task Name]]="","",Tasks[[#This Row],[Forecast Finish]])</f>
        <v/>
      </c>
      <c r="BC52" s="28" t="str">
        <f aca="false">IF(Tasks[[#This Row],[Task Name]]="","",IF(Tasks[[#This Row],[_IsSummary]],NETWORKDAYS.INTL(Tasks[[#This Row],[Forecast Start]],Tasks[[#This Row],[Forecast Finish]],WorkWeek,Holidays),N(Tasks[[#This Row],[Duration]])))</f>
        <v/>
      </c>
      <c r="BD52" s="96" t="str">
        <f aca="false">IF(Tasks[[#This Row],[Task Name]]="","",Tasks[[#This Row],[Work]])</f>
        <v/>
      </c>
      <c r="BE52" s="97" t="str">
        <f aca="false">IF(Tasks[[#This Row],[Task Name]]="","",Tasks[[#This Row],[Cost]])</f>
        <v/>
      </c>
      <c r="BF52" s="75"/>
      <c r="BG52" s="75"/>
      <c r="BH52" s="29"/>
      <c r="BI52" s="99"/>
      <c r="BJ52" s="98"/>
      <c r="BK52" s="28" t="str">
        <f aca="false">IF(OR(Tasks[[#This Row],[Task Name]]="",Tasks[[#This Row],[Baseline Duration]]=""),"",Tasks[[#This Row],[BL Source Duration]]-N(Tasks[[#This Row],[Baseline Duration]]))</f>
        <v/>
      </c>
      <c r="BL52" s="96" t="str">
        <f aca="false">IF(OR(Tasks[[#This Row],[Task Name]]="",Tasks[[#This Row],[Baseline Work]]=""),"",Tasks[[#This Row],[Work]]-N(Tasks[[#This Row],[Baseline Work]]))</f>
        <v/>
      </c>
      <c r="BM52" s="97" t="str">
        <f aca="false">IF(OR(Tasks[[#This Row],[Task Name]]="",Tasks[[#This Row],[Baseline Cost]]=""),"",Tasks[[#This Row],[Cost]]-N(Tasks[[#This Row],[Baseline Cost]]))</f>
        <v/>
      </c>
      <c r="BN52" s="97" t="str">
        <f aca="false">IF(Tasks[[#This Row],[Task Name]]="","",IF(Tasks[[#This Row],[_IsSummary]],SUM(INDEX(Tasks[_LeafBudget],Tasks[[#This Row],[_Row]]+1):INDEX(Tasks[_LeafBudget],Tasks[[#This Row],[_Row]]+Tasks[[#This Row],[_Descendants]])),Tasks[[#This Row],[_LeafBudget]]))</f>
        <v/>
      </c>
      <c r="BO52" s="97" t="str">
        <f aca="false">IF(Tasks[[#This Row],[Task Name]]="","",IF(Tasks[[#This Row],[_IsSummary]],SUM(INDEX(Tasks[_LeafPV],Tasks[[#This Row],[_Row]]+1):INDEX(Tasks[_LeafPV],Tasks[[#This Row],[_Row]]+Tasks[[#This Row],[_Descendants]])),Tasks[[#This Row],[_LeafPV]]))</f>
        <v/>
      </c>
      <c r="BP52" s="97" t="str">
        <f aca="false">IF(Tasks[[#This Row],[Task Name]]="","",IF(Tasks[[#This Row],[_IsSummary]],SUM(INDEX(Tasks[_LeafEV],Tasks[[#This Row],[_Row]]+1):INDEX(Tasks[_LeafEV],Tasks[[#This Row],[_Row]]+Tasks[[#This Row],[_Descendants]])),Tasks[[#This Row],[_LeafEV]]))</f>
        <v/>
      </c>
      <c r="BQ52" s="97" t="str">
        <f aca="false">IF(Tasks[[#This Row],[Task Name]]="","",IF(Tasks[[#This Row],[_IsSummary]],SUM(INDEX(Tasks[_LeafAC],Tasks[[#This Row],[_Row]]+1):INDEX(Tasks[_LeafAC],Tasks[[#This Row],[_Row]]+Tasks[[#This Row],[_Descendants]])),Tasks[[#This Row],[_LeafAC]]))</f>
        <v/>
      </c>
      <c r="BR52" s="41" t="str">
        <f aca="false">IF(Tasks[[#This Row],[Task Name]]="","",MAX(1,N(Tasks[[#This Row],[Level]])))</f>
        <v/>
      </c>
      <c r="BS52" s="41" t="n">
        <f aca="false">ROW()-ROW(Tasks[[#Headers],[ID]])</f>
        <v>47</v>
      </c>
      <c r="BT52" s="41" t="n">
        <f aca="false">IF(OR(Tasks[[#This Row],[Task Name]]="",Tasks[[#This Row],[_Level]]&lt;=1),0,IFERROR(LOOKUP(2,1/(Tasks[[#Headers],[_Level]]:Tasks[[#This Row],[_Level]]=Tasks[[#This Row],[_Level]]-1),ROW(Tasks[[#Headers],[_Level]]:Tasks[[#This Row],[_Level]])),0))</f>
        <v>0</v>
      </c>
      <c r="BU52" s="41" t="n">
        <f aca="false">IFERROR(N(INDEX(Tasks[_Level],Tasks[[#This Row],[_Row]]+1)),0)</f>
        <v>0</v>
      </c>
      <c r="BV52" s="100" t="b">
        <f aca="false">AND(Tasks[[#This Row],[Task Name]]&lt;&gt;"",Tasks[[#This Row],[_NextLevel]]&gt;Tasks[[#This Row],[_Level]])</f>
        <v>0</v>
      </c>
      <c r="BW52" s="41" t="n">
        <f aca="false">IF(Tasks[[#This Row],[_IsSummary]],COUNTIF(Tasks[WBS],Tasks[[#This Row],[WBS]]&amp;".*"),0)</f>
        <v>0</v>
      </c>
      <c r="BX52" s="41" t="n">
        <f aca="false">IF(AND(Tasks[[#This Row],[Task Name]]&lt;&gt;"",NOT(Tasks[[#This Row],[_IsSummary]])),1,0)</f>
        <v>0</v>
      </c>
      <c r="BY52" s="41" t="n">
        <f aca="false">IF(N(Tasks[[#This Row],[Pred1 UID]])=0,0,IFERROR(MATCH(Tasks[[#This Row],[Pred1 UID]],Tasks[UID],0),-1))</f>
        <v>0</v>
      </c>
      <c r="BZ52" s="41" t="n">
        <f aca="false">IF(N(Tasks[[#This Row],[Pred2 UID]])=0,0,IFERROR(MATCH(Tasks[[#This Row],[Pred2 UID]],Tasks[UID],0),-1))</f>
        <v>0</v>
      </c>
      <c r="CA52" s="41" t="n">
        <f aca="false">IF(N(Tasks[[#This Row],[Pred3 UID]])=0,0,IFERROR(MATCH(Tasks[[#This Row],[Pred3 UID]],Tasks[UID],0),-1))</f>
        <v>0</v>
      </c>
      <c r="CB52" s="41" t="n">
        <f aca="false">IF(N(Tasks[[#This Row],[Pred4 UID]])=0,0,IFERROR(MATCH(Tasks[[#This Row],[Pred4 UID]],Tasks[UID],0),-1))</f>
        <v>0</v>
      </c>
      <c r="CC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2" s="101" t="n">
        <f aca="false">IF(OR(Tasks[[#This Row],[_ConstraintCode]]=2,Tasks[[#This Row],[_ConstraintCode]]=3,Tasks[[#This Row],[_ConstraintCode]]=4,Tasks[[#This Row],[_ConstraintCode]]=6),Tasks[[#This Row],[_ConstraintStart]],0)</f>
        <v>0</v>
      </c>
      <c r="CF52" s="101" t="n">
        <f aca="false">IF(OR(Tasks[[#This Row],[_ConstraintCode]]=2,Tasks[[#This Row],[_ConstraintCode]]=3,Tasks[[#This Row],[_ConstraintCode]]=5,Tasks[[#This Row],[_ConstraintCode]]=7),Tasks[[#This Row],[_ConstraintStart]],2958465)</f>
        <v>2958465</v>
      </c>
      <c r="CG5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2" s="101" t="str">
        <f aca="false">IF(NOT(Tasks[[#This Row],[_IsLeaf]]=1),"",IF(N(Tasks[[#This Row],[Duration]])&lt;=0,Tasks[[#This Row],[_LeafCalcStart]],WORKDAY.INTL(Tasks[[#This Row],[_LeafCalcStart]],Tasks[[#This Row],[Duration]]-1,WorkWeek,Holidays)))</f>
        <v/>
      </c>
      <c r="CI5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2" s="41" t="n">
        <f aca="false">IF(NOT(Tasks[[#This Row],[_IsLeaf]]=1),0,IF(N(Tasks[[#This Row],[Actual Finish]])&gt;0,1,MIN(1,N(Tasks[[#This Row],[% Complete]]))))</f>
        <v>0</v>
      </c>
      <c r="CL52" s="41" t="n">
        <f aca="false">IF(OR(NOT(Tasks[[#This Row],[_IsLeaf]]=1),Tasks[[#This Row],[Resource]]=""),0,N(Tasks[[#This Row],[Duration]])*HoursPerDay*IF(Tasks[[#This Row],[Units]]="",DefaultUnits,Tasks[[#This Row],[Units]]))</f>
        <v>0</v>
      </c>
      <c r="CM52" s="41" t="n">
        <f aca="false">IF(Tasks[[#This Row],[_LeafWork]]=0,0,Tasks[[#This Row],[_LeafWork]]*IFERROR(INDEX(res_Rate,MATCH(Tasks[[#This Row],[Resource]],res_Name,0)),0))</f>
        <v>0</v>
      </c>
      <c r="CN52" s="41" t="n">
        <f aca="false">Tasks[[#This Row],[_LeafWork]]+IF(Tasks[[#This Row],[_IsLeaf]]=1,SUMIFS(asg_Work,asg_TaskUID,Tasks[[#This Row],[UID]],asg_Valid,1),0)</f>
        <v>0</v>
      </c>
      <c r="CO52" s="41" t="n">
        <f aca="false">Tasks[[#This Row],[_LeafCost]]+IF(Tasks[[#This Row],[_IsLeaf]]=1,SUMIFS(asg_Cost,asg_TaskUID,Tasks[[#This Row],[UID]],asg_Valid,1),0)</f>
        <v>0</v>
      </c>
      <c r="CP52" s="41" t="n">
        <f aca="false">IF(Tasks[[#This Row],[_LeafTotalCost]]=0,Tasks[[#This Row],[_LeafAC]],Tasks[[#This Row],[_LeafAC]]*Tasks[[#This Row],[_LeafCost]]/Tasks[[#This Row],[_LeafTotalCost]])</f>
        <v>0</v>
      </c>
      <c r="CQ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2" s="41" t="n">
        <f aca="false">IF(NOT(Tasks[[#This Row],[_IsLeaf]]=1),0,MAX(_xlfn.MAXIFS(Tasks[_Row],Tasks[Pred1 UID],Tasks[[#This Row],[UID]]),_xlfn.MAXIFS(Tasks[_Row],Tasks[Pred2 UID],Tasks[[#This Row],[UID]]),_xlfn.MAXIFS(Tasks[_Row],Tasks[Pred3 UID],Tasks[[#This Row],[UID]]),_xlfn.MAXIFS(Tasks[_Row],Tasks[Pred4 UID],Tasks[[#This Row],[UID]])))</f>
        <v>0</v>
      </c>
      <c r="CZ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2" s="101" t="str">
        <f aca="false">IF(NOT(Tasks[[#This Row],[_IsLeaf]]=1),"",IF(N(Tasks[[#This Row],[Duration]])&lt;=0,Tasks[[#This Row],[_LeafLateFinish]],WORKDAY.INTL(Tasks[[#This Row],[_LeafLateFinish]],-(Tasks[[#This Row],[Duration]]-1),WorkWeek,Holidays)))</f>
        <v/>
      </c>
      <c r="DC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2" s="100" t="b">
        <f aca="false">AND(Tasks[[#This Row],[_IsLeaf]]=1,Tasks[[#This Row],[_LeafProgress]]&lt;1,N(Tasks[[#This Row],[_LeafTotalSlack]])&lt;=CriticalSlackDays)</f>
        <v>0</v>
      </c>
      <c r="DE52" s="41" t="n">
        <f aca="false">IF(AND(Tasks[[#This Row],[_IsLeaf]]=1,Tasks[[#This Row],[_ConstraintCode]]=1,Tasks[[#This Row],[Mode]]&lt;&gt;"Manual",N(Tasks[[#This Row],[Actual Start]])=0),MAX(0,N(Tasks[[#This Row],[Free Slack]])),0)</f>
        <v>0</v>
      </c>
      <c r="DF52" s="101" t="str">
        <f aca="false">IF(NOT(Tasks[[#This Row],[_IsLeaf]]=1),"",IF(Tasks[[#This Row],[_AlapShift]]=0,Tasks[[#This Row],[_LeafCalcStart]],WORKDAY.INTL(Tasks[[#This Row],[_LeafCalcStart]],Tasks[[#This Row],[_AlapShift]],WorkWeek,Holidays)))</f>
        <v/>
      </c>
      <c r="DG52" s="101" t="str">
        <f aca="false">IF(NOT(Tasks[[#This Row],[_IsLeaf]]=1),"",IF(Tasks[[#This Row],[_AlapShift]]=0,Tasks[[#This Row],[_LeafCalcFinish]],WORKDAY.INTL(Tasks[[#This Row],[_LeafCalcFinish]],Tasks[[#This Row],[_AlapShift]],WorkWeek,Holidays)))</f>
        <v/>
      </c>
      <c r="DH52" s="101" t="str">
        <f aca="false">IF(NOT(Tasks[[#This Row],[_IsLeaf]]=1),"",IF(Tasks[[#This Row],[_AlapShift]]=0,Tasks[[#This Row],[_LeafFcstStart]],WORKDAY.INTL(Tasks[[#This Row],[_LeafFcstStart]],Tasks[[#This Row],[_AlapShift]],WorkWeek,Holidays)))</f>
        <v/>
      </c>
      <c r="DI52" s="101" t="str">
        <f aca="false">IF(NOT(Tasks[[#This Row],[_IsLeaf]]=1),"",IF(Tasks[[#This Row],[_AlapShift]]=0,Tasks[[#This Row],[_LeafFcstFinish]],WORKDAY.INTL(Tasks[[#This Row],[_LeafFcstFinish]],Tasks[[#This Row],[_AlapShift]],WorkWeek,Holidays)))</f>
        <v/>
      </c>
      <c r="DJ52" s="101" t="str">
        <f aca="false">IF(Tasks[[#This Row],[Task Name]]="","",IF(Tasks[[#This Row],[_IsSummary]],MIN(INDEX(Tasks[_ShownCalcStart],Tasks[[#This Row],[_Row]]+1):INDEX(Tasks[_ShownCalcStart],Tasks[[#This Row],[_Row]]+Tasks[[#This Row],[_Descendants]])),Tasks[[#This Row],[_ShownCalcStart]]))</f>
        <v/>
      </c>
      <c r="DK52" s="101" t="str">
        <f aca="false">IF(Tasks[[#This Row],[Task Name]]="","",IF(Tasks[[#This Row],[_IsSummary]],MAX(INDEX(Tasks[_ShownCalcFinish],Tasks[[#This Row],[_Row]]+1):INDEX(Tasks[_ShownCalcFinish],Tasks[[#This Row],[_Row]]+Tasks[[#This Row],[_Descendants]])),Tasks[[#This Row],[_ShownCalcFinish]]))</f>
        <v/>
      </c>
      <c r="D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2" s="41" t="n">
        <f aca="false">IF(AND(Tasks[[#This Row],[_IsLeaf]]=1,Tasks[[#This Row],[_LeafTotalWork]]&gt;0),NETWORKDAYS.INTL(ProjectStart,Tasks[[#This Row],[_ShownFcstStart]],WorkWeek,Holidays),0)</f>
        <v>0</v>
      </c>
      <c r="DY52" s="41" t="n">
        <f aca="false">IF(AND(Tasks[[#This Row],[_IsLeaf]]=1,Tasks[[#This Row],[_LeafTotalWork]]&gt;0),MAX(Tasks[[#This Row],[_StartWorkday]],NETWORKDAYS.INTL(ProjectStart,Tasks[[#This Row],[_ShownFcstFinish]],WorkWeek,Holidays)),0)</f>
        <v>0</v>
      </c>
      <c r="DZ52" s="41" t="n">
        <f aca="false">IF(AND(Tasks[[#This Row],[_IsLeaf]]=1,Tasks[[#This Row],[_LeafTotalWork]]&gt;0),Tasks[[#This Row],[_LeafWork]]/(Tasks[[#This Row],[_FinishWorkday]]-Tasks[[#This Row],[_StartWorkday]]+1),0)</f>
        <v>0</v>
      </c>
      <c r="EA52" s="41" t="n">
        <f aca="false">Tasks[[#This Row],[_WorkPerWorkday]]*(Tasks[[#This Row],[_StartWorkday]]-1)</f>
        <v>-0</v>
      </c>
      <c r="EB52" s="41" t="n">
        <f aca="false">IF(Tasks[[#This Row],[_IsLeaf]]=1,MAX(N(Tasks[[#This Row],[Duration]]),0.1),0)</f>
        <v>0</v>
      </c>
      <c r="EC52" s="41" t="n">
        <f aca="false">Tasks[[#This Row],[_WeightDur]]*Tasks[[#This Row],[_LeafProgress]]</f>
        <v>0</v>
      </c>
      <c r="ED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2" s="41" t="str">
        <f aca="false">IF(AND(Tasks[[#This Row],[_IsLeaf]]=1,N(Tasks[[#This Row],[Duration]])=0,Tasks[[#This Row],[_LeafProgress]]&lt;1),Tasks[[#This Row],[_ShownFcstFinish]]+Tasks[[#This Row],[_Row]]/100000,"")</f>
        <v/>
      </c>
      <c r="EF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2" s="41" t="n">
        <f aca="false">IF(NOT(Tasks[[#This Row],[_IsLeaf]]=1),0,IF(Tasks[[#This Row],[Baseline Cost]]="",Tasks[[#This Row],[_LeafTotalCost]],N(Tasks[[#This Row],[Baseline Cost]])))</f>
        <v>0</v>
      </c>
      <c r="EH52" s="41" t="n">
        <f aca="false">Tasks[[#This Row],[_LeafBudget]]*Tasks[[#This Row],[_PlannedPct]]</f>
        <v>0</v>
      </c>
      <c r="EI52" s="41" t="n">
        <f aca="false">Tasks[[#This Row],[_LeafBudget]]*Tasks[[#This Row],[_LeafProgress]]</f>
        <v>0</v>
      </c>
      <c r="EJ52" s="41" t="n">
        <f aca="false">IF(NOT(Tasks[[#This Row],[_IsLeaf]]=1),0,IF(Tasks[[#This Row],[Actual Cost]]="",Tasks[[#This Row],[_LeafTotalCost]]*Tasks[[#This Row],[_LeafProgress]],N(Tasks[[#This Row],[Actual Cost]])))</f>
        <v>0</v>
      </c>
      <c r="EK52" s="41" t="str">
        <f aca="false">IF(Tasks[[#This Row],[Task Name]]="","",LEFT(Tasks[[#This Row],[WBS]],FIND(".",Tasks[[#This Row],[WBS]]&amp;".")-1))</f>
        <v/>
      </c>
      <c r="EL52" s="41" t="str">
        <f aca="false">IF(AND(Tasks[[#This Row],[Task Name]]&lt;&gt;"",Tasks[[#This Row],[_Level]]=1),Tasks[[#This Row],[_Row]],"")</f>
        <v/>
      </c>
      <c r="EM52" s="41" t="str">
        <f aca="false">IF(AND(Tasks[[#This Row],[_IsLeaf]]=1,N(Tasks[[#This Row],[Duration]])=0),Tasks[[#This Row],[Planned Finish]]+Tasks[[#This Row],[_Row]]/100000,"")</f>
        <v/>
      </c>
      <c r="EN52" s="41" t="str">
        <f aca="false">IF(AND(Tasks[[#This Row],[_IsLeaf]]=1,Tasks[[#This Row],[_LeafProgress]]&lt;1,OR(N(Tasks[[#This Row],[Finish Var]])&gt;0,Tasks[[#This Row],[Status]]="Late Start")),MAX(0,Tasks[[#This Row],[Finish Var]])+1-Tasks[[#This Row],[_Row]]/1000000,"")</f>
        <v/>
      </c>
      <c r="EO52" s="41" t="str">
        <f aca="false">IF(AND(Tasks[[#This Row],[_IsLeaf]]=1,N(Tasks[[#This Row],[Actual Start]])=0,Tasks[[#This Row],[_ShownFcstStart]]&gt;=StatusDate,Tasks[[#This Row],[_ShownFcstStart]]&lt;=LookaheadEnd),Tasks[[#This Row],[_ShownFcstStart]]+Tasks[[#This Row],[_Row]]/100000,"")</f>
        <v/>
      </c>
      <c r="EP52" s="41" t="str">
        <f aca="false">IF(AND(Tasks[[#This Row],[_IsLeaf]]=1,Tasks[[#This Row],[_LeafProgress]]&lt;1,Tasks[[#This Row],[_ShownFcstFinish]]&gt;=StatusDate,Tasks[[#This Row],[_ShownFcstFinish]]&lt;=LookaheadEnd),Tasks[[#This Row],[_ShownFcstFinish]]+Tasks[[#This Row],[_Row]]/100000,"")</f>
        <v/>
      </c>
      <c r="EQ52" s="41" t="str">
        <f aca="false">IF(Tasks[[#This Row],[_LeafCritical]],Tasks[[#This Row],[_ShownFcstStart]]+Tasks[[#This Row],[_Row]]/100000,"")</f>
        <v/>
      </c>
      <c r="ER52" s="41" t="n">
        <f aca="false">Tasks[[#This Row],[_LeafWork]]*Tasks[[#This Row],[_LeafProgress]]</f>
        <v>0</v>
      </c>
      <c r="ES52" s="101" t="str">
        <f aca="false">IF(AND(Tasks[[#This Row],[_IsLeaf]]=1,Tasks[[#This Row],[_LeafProgress]]&gt;=1),IF(N(Tasks[[#This Row],[Actual Finish]])&gt;0,Tasks[[#This Row],[Actual Finish]],Tasks[[#This Row],[_ShownFcstFinish]]),"")</f>
        <v/>
      </c>
      <c r="ET52" s="41" t="n">
        <f aca="false">IF(Tasks[[#This Row],[_IsLeaf]]=1,N(Tasks[[#This Row],[Story Points]]),0)</f>
        <v>0</v>
      </c>
      <c r="EU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29"/>
      <c r="O53" s="29"/>
      <c r="P53" s="29"/>
      <c r="Q53" s="29"/>
      <c r="R53" s="29"/>
      <c r="S53" s="29"/>
      <c r="T53" s="30"/>
      <c r="U53" s="75"/>
      <c r="V53" s="75"/>
      <c r="W53" s="25" t="str">
        <f aca="false">IF(Tasks[[#This Row],[Task Name]]="","",IF(N(Tasks[[#This Row],[Baseline Start]])&gt;0,Tasks[[#This Row],[Baseline Start]],Tasks[[#This Row],[_CalcStart]]))</f>
        <v/>
      </c>
      <c r="X53" s="25" t="str">
        <f aca="false">IF(Tasks[[#This Row],[Task Name]]="","",IF(N(Tasks[[#This Row],[Baseline Finish]])&gt;0,Tasks[[#This Row],[Baseline Finish]],Tasks[[#This Row],[_CalcFinish]]))</f>
        <v/>
      </c>
      <c r="Y53" s="75"/>
      <c r="Z53" s="75"/>
      <c r="AA53" s="25" t="str">
        <f aca="false">IF(Tasks[[#This Row],[Task Name]]="","",IF(Tasks[[#This Row],[_IsSummary]],MIN(INDEX(Tasks[_ShownFcstStart],Tasks[[#This Row],[_Row]]+1):INDEX(Tasks[_ShownFcstStart],Tasks[[#This Row],[_Row]]+Tasks[[#This Row],[_Descendants]])),Tasks[[#This Row],[_ShownFcstStart]]))</f>
        <v/>
      </c>
      <c r="AB53" s="25" t="str">
        <f aca="false">IF(Tasks[[#This Row],[Task Name]]="","",IF(Tasks[[#This Row],[_IsSummary]],MAX(INDEX(Tasks[_ShownFcstFinish],Tasks[[#This Row],[_Row]]+1):INDEX(Tasks[_ShownFcstFinish],Tasks[[#This Row],[_Row]]+Tasks[[#This Row],[_Descendants]])),Tasks[[#This Row],[_ShownFcstFinish]]))</f>
        <v/>
      </c>
      <c r="AC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3" s="25" t="str">
        <f aca="false">IF(Tasks[[#This Row],[Task Name]]="","",IF(Tasks[[#This Row],[_IsSummary]],MIN(INDEX(Tasks[_LeafLateStart],Tasks[[#This Row],[_Row]]+1):INDEX(Tasks[_LeafLateStart],Tasks[[#This Row],[_Row]]+Tasks[[#This Row],[_Descendants]])),Tasks[[#This Row],[_LeafLateStart]]))</f>
        <v/>
      </c>
      <c r="AF53" s="25" t="str">
        <f aca="false">IF(Tasks[[#This Row],[Task Name]]="","",IF(Tasks[[#This Row],[_IsSummary]],MAX(INDEX(Tasks[_LeafLateFinish],Tasks[[#This Row],[_Row]]+1):INDEX(Tasks[_LeafLateFinish],Tasks[[#This Row],[_Row]]+Tasks[[#This Row],[_Descendants]])),Tasks[[#This Row],[_LeafLateFinish]]))</f>
        <v/>
      </c>
      <c r="AG53" s="28" t="str">
        <f aca="false">IF(Tasks[[#This Row],[Task Name]]="","",IF(Tasks[[#This Row],[_IsSummary]],MIN(INDEX(Tasks[_LeafTotalSlack],Tasks[[#This Row],[_Row]]+1):INDEX(Tasks[_LeafTotalSlack],Tasks[[#This Row],[_Row]]+Tasks[[#This Row],[_Descendants]])),Tasks[[#This Row],[_LeafTotalSlack]]))</f>
        <v/>
      </c>
      <c r="AH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3" s="28" t="str">
        <f aca="false">IF(Tasks[[#This Row],[Task Name]]="","",IF(IF(Tasks[[#This Row],[_IsSummary]],COUNTIF(INDEX(Tasks[_LeafCritical],Tasks[[#This Row],[_Row]]+1):INDEX(Tasks[_LeafCritical],Tasks[[#This Row],[_Row]]+Tasks[[#This Row],[_Descendants]]),TRUE())&gt;0,Tasks[[#This Row],[_LeafCritical]]),"Yes",""))</f>
        <v/>
      </c>
      <c r="AJ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3" s="89"/>
      <c r="AM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3" s="28" t="str">
        <f aca="false">IF(Tasks[[#This Row],[Task Name]]="","",IF(Tasks[[#This Row],[Progress]]&gt;=1,"Complete",IF(OR(N(Tasks[[#This Row],[Actual Start]])&gt;0,Tasks[[#This Row],[Progress]]&gt;0),IF(Tasks[[#This Row],[Finish Var]]&gt;0,"Behind","In Progress"),IF(Tasks[[#This Row],[Planned Start]]&lt;StatusDate,"Late Start","Not Started"))))</f>
        <v/>
      </c>
      <c r="AO53" s="30"/>
      <c r="AP53" s="89"/>
      <c r="AQ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3" s="96" t="str">
        <f aca="false">IF(Tasks[[#This Row],[Task Name]]="","",IF(Tasks[[#This Row],[_IsSummary]],SUM(INDEX(Tasks[_LeafTotalWork],Tasks[[#This Row],[_Row]]+1):INDEX(Tasks[_LeafTotalWork],Tasks[[#This Row],[_Row]]+Tasks[[#This Row],[_Descendants]])),Tasks[[#This Row],[_LeafTotalWork]]))</f>
        <v/>
      </c>
      <c r="AT53" s="97" t="str">
        <f aca="false">IF(Tasks[[#This Row],[Task Name]]="","",IF(Tasks[[#This Row],[_IsSummary]],SUM(INDEX(Tasks[_LeafTotalCost],Tasks[[#This Row],[_Row]]+1):INDEX(Tasks[_LeafTotalCost],Tasks[[#This Row],[_Row]]+Tasks[[#This Row],[_Descendants]])),Tasks[[#This Row],[_LeafTotalCost]]))</f>
        <v/>
      </c>
      <c r="AU53" s="98"/>
      <c r="AV53" s="29"/>
      <c r="AW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3" s="83"/>
      <c r="AY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3" s="30"/>
      <c r="BA53" s="25" t="str">
        <f aca="false">IF(Tasks[[#This Row],[Task Name]]="","",Tasks[[#This Row],[Forecast Start]])</f>
        <v/>
      </c>
      <c r="BB53" s="25" t="str">
        <f aca="false">IF(Tasks[[#This Row],[Task Name]]="","",Tasks[[#This Row],[Forecast Finish]])</f>
        <v/>
      </c>
      <c r="BC53" s="28" t="str">
        <f aca="false">IF(Tasks[[#This Row],[Task Name]]="","",IF(Tasks[[#This Row],[_IsSummary]],NETWORKDAYS.INTL(Tasks[[#This Row],[Forecast Start]],Tasks[[#This Row],[Forecast Finish]],WorkWeek,Holidays),N(Tasks[[#This Row],[Duration]])))</f>
        <v/>
      </c>
      <c r="BD53" s="96" t="str">
        <f aca="false">IF(Tasks[[#This Row],[Task Name]]="","",Tasks[[#This Row],[Work]])</f>
        <v/>
      </c>
      <c r="BE53" s="97" t="str">
        <f aca="false">IF(Tasks[[#This Row],[Task Name]]="","",Tasks[[#This Row],[Cost]])</f>
        <v/>
      </c>
      <c r="BF53" s="75"/>
      <c r="BG53" s="75"/>
      <c r="BH53" s="29"/>
      <c r="BI53" s="99"/>
      <c r="BJ53" s="98"/>
      <c r="BK53" s="28" t="str">
        <f aca="false">IF(OR(Tasks[[#This Row],[Task Name]]="",Tasks[[#This Row],[Baseline Duration]]=""),"",Tasks[[#This Row],[BL Source Duration]]-N(Tasks[[#This Row],[Baseline Duration]]))</f>
        <v/>
      </c>
      <c r="BL53" s="96" t="str">
        <f aca="false">IF(OR(Tasks[[#This Row],[Task Name]]="",Tasks[[#This Row],[Baseline Work]]=""),"",Tasks[[#This Row],[Work]]-N(Tasks[[#This Row],[Baseline Work]]))</f>
        <v/>
      </c>
      <c r="BM53" s="97" t="str">
        <f aca="false">IF(OR(Tasks[[#This Row],[Task Name]]="",Tasks[[#This Row],[Baseline Cost]]=""),"",Tasks[[#This Row],[Cost]]-N(Tasks[[#This Row],[Baseline Cost]]))</f>
        <v/>
      </c>
      <c r="BN53" s="97" t="str">
        <f aca="false">IF(Tasks[[#This Row],[Task Name]]="","",IF(Tasks[[#This Row],[_IsSummary]],SUM(INDEX(Tasks[_LeafBudget],Tasks[[#This Row],[_Row]]+1):INDEX(Tasks[_LeafBudget],Tasks[[#This Row],[_Row]]+Tasks[[#This Row],[_Descendants]])),Tasks[[#This Row],[_LeafBudget]]))</f>
        <v/>
      </c>
      <c r="BO53" s="97" t="str">
        <f aca="false">IF(Tasks[[#This Row],[Task Name]]="","",IF(Tasks[[#This Row],[_IsSummary]],SUM(INDEX(Tasks[_LeafPV],Tasks[[#This Row],[_Row]]+1):INDEX(Tasks[_LeafPV],Tasks[[#This Row],[_Row]]+Tasks[[#This Row],[_Descendants]])),Tasks[[#This Row],[_LeafPV]]))</f>
        <v/>
      </c>
      <c r="BP53" s="97" t="str">
        <f aca="false">IF(Tasks[[#This Row],[Task Name]]="","",IF(Tasks[[#This Row],[_IsSummary]],SUM(INDEX(Tasks[_LeafEV],Tasks[[#This Row],[_Row]]+1):INDEX(Tasks[_LeafEV],Tasks[[#This Row],[_Row]]+Tasks[[#This Row],[_Descendants]])),Tasks[[#This Row],[_LeafEV]]))</f>
        <v/>
      </c>
      <c r="BQ53" s="97" t="str">
        <f aca="false">IF(Tasks[[#This Row],[Task Name]]="","",IF(Tasks[[#This Row],[_IsSummary]],SUM(INDEX(Tasks[_LeafAC],Tasks[[#This Row],[_Row]]+1):INDEX(Tasks[_LeafAC],Tasks[[#This Row],[_Row]]+Tasks[[#This Row],[_Descendants]])),Tasks[[#This Row],[_LeafAC]]))</f>
        <v/>
      </c>
      <c r="BR53" s="41" t="str">
        <f aca="false">IF(Tasks[[#This Row],[Task Name]]="","",MAX(1,N(Tasks[[#This Row],[Level]])))</f>
        <v/>
      </c>
      <c r="BS53" s="41" t="n">
        <f aca="false">ROW()-ROW(Tasks[[#Headers],[ID]])</f>
        <v>48</v>
      </c>
      <c r="BT53" s="41" t="n">
        <f aca="false">IF(OR(Tasks[[#This Row],[Task Name]]="",Tasks[[#This Row],[_Level]]&lt;=1),0,IFERROR(LOOKUP(2,1/(Tasks[[#Headers],[_Level]]:Tasks[[#This Row],[_Level]]=Tasks[[#This Row],[_Level]]-1),ROW(Tasks[[#Headers],[_Level]]:Tasks[[#This Row],[_Level]])),0))</f>
        <v>0</v>
      </c>
      <c r="BU53" s="41" t="n">
        <f aca="false">IFERROR(N(INDEX(Tasks[_Level],Tasks[[#This Row],[_Row]]+1)),0)</f>
        <v>0</v>
      </c>
      <c r="BV53" s="100" t="b">
        <f aca="false">AND(Tasks[[#This Row],[Task Name]]&lt;&gt;"",Tasks[[#This Row],[_NextLevel]]&gt;Tasks[[#This Row],[_Level]])</f>
        <v>0</v>
      </c>
      <c r="BW53" s="41" t="n">
        <f aca="false">IF(Tasks[[#This Row],[_IsSummary]],COUNTIF(Tasks[WBS],Tasks[[#This Row],[WBS]]&amp;".*"),0)</f>
        <v>0</v>
      </c>
      <c r="BX53" s="41" t="n">
        <f aca="false">IF(AND(Tasks[[#This Row],[Task Name]]&lt;&gt;"",NOT(Tasks[[#This Row],[_IsSummary]])),1,0)</f>
        <v>0</v>
      </c>
      <c r="BY53" s="41" t="n">
        <f aca="false">IF(N(Tasks[[#This Row],[Pred1 UID]])=0,0,IFERROR(MATCH(Tasks[[#This Row],[Pred1 UID]],Tasks[UID],0),-1))</f>
        <v>0</v>
      </c>
      <c r="BZ53" s="41" t="n">
        <f aca="false">IF(N(Tasks[[#This Row],[Pred2 UID]])=0,0,IFERROR(MATCH(Tasks[[#This Row],[Pred2 UID]],Tasks[UID],0),-1))</f>
        <v>0</v>
      </c>
      <c r="CA53" s="41" t="n">
        <f aca="false">IF(N(Tasks[[#This Row],[Pred3 UID]])=0,0,IFERROR(MATCH(Tasks[[#This Row],[Pred3 UID]],Tasks[UID],0),-1))</f>
        <v>0</v>
      </c>
      <c r="CB53" s="41" t="n">
        <f aca="false">IF(N(Tasks[[#This Row],[Pred4 UID]])=0,0,IFERROR(MATCH(Tasks[[#This Row],[Pred4 UID]],Tasks[UID],0),-1))</f>
        <v>0</v>
      </c>
      <c r="CC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3" s="101" t="n">
        <f aca="false">IF(OR(Tasks[[#This Row],[_ConstraintCode]]=2,Tasks[[#This Row],[_ConstraintCode]]=3,Tasks[[#This Row],[_ConstraintCode]]=4,Tasks[[#This Row],[_ConstraintCode]]=6),Tasks[[#This Row],[_ConstraintStart]],0)</f>
        <v>0</v>
      </c>
      <c r="CF53" s="101" t="n">
        <f aca="false">IF(OR(Tasks[[#This Row],[_ConstraintCode]]=2,Tasks[[#This Row],[_ConstraintCode]]=3,Tasks[[#This Row],[_ConstraintCode]]=5,Tasks[[#This Row],[_ConstraintCode]]=7),Tasks[[#This Row],[_ConstraintStart]],2958465)</f>
        <v>2958465</v>
      </c>
      <c r="CG5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3" s="101" t="str">
        <f aca="false">IF(NOT(Tasks[[#This Row],[_IsLeaf]]=1),"",IF(N(Tasks[[#This Row],[Duration]])&lt;=0,Tasks[[#This Row],[_LeafCalcStart]],WORKDAY.INTL(Tasks[[#This Row],[_LeafCalcStart]],Tasks[[#This Row],[Duration]]-1,WorkWeek,Holidays)))</f>
        <v/>
      </c>
      <c r="CI5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3" s="41" t="n">
        <f aca="false">IF(NOT(Tasks[[#This Row],[_IsLeaf]]=1),0,IF(N(Tasks[[#This Row],[Actual Finish]])&gt;0,1,MIN(1,N(Tasks[[#This Row],[% Complete]]))))</f>
        <v>0</v>
      </c>
      <c r="CL53" s="41" t="n">
        <f aca="false">IF(OR(NOT(Tasks[[#This Row],[_IsLeaf]]=1),Tasks[[#This Row],[Resource]]=""),0,N(Tasks[[#This Row],[Duration]])*HoursPerDay*IF(Tasks[[#This Row],[Units]]="",DefaultUnits,Tasks[[#This Row],[Units]]))</f>
        <v>0</v>
      </c>
      <c r="CM53" s="41" t="n">
        <f aca="false">IF(Tasks[[#This Row],[_LeafWork]]=0,0,Tasks[[#This Row],[_LeafWork]]*IFERROR(INDEX(res_Rate,MATCH(Tasks[[#This Row],[Resource]],res_Name,0)),0))</f>
        <v>0</v>
      </c>
      <c r="CN53" s="41" t="n">
        <f aca="false">Tasks[[#This Row],[_LeafWork]]+IF(Tasks[[#This Row],[_IsLeaf]]=1,SUMIFS(asg_Work,asg_TaskUID,Tasks[[#This Row],[UID]],asg_Valid,1),0)</f>
        <v>0</v>
      </c>
      <c r="CO53" s="41" t="n">
        <f aca="false">Tasks[[#This Row],[_LeafCost]]+IF(Tasks[[#This Row],[_IsLeaf]]=1,SUMIFS(asg_Cost,asg_TaskUID,Tasks[[#This Row],[UID]],asg_Valid,1),0)</f>
        <v>0</v>
      </c>
      <c r="CP53" s="41" t="n">
        <f aca="false">IF(Tasks[[#This Row],[_LeafTotalCost]]=0,Tasks[[#This Row],[_LeafAC]],Tasks[[#This Row],[_LeafAC]]*Tasks[[#This Row],[_LeafCost]]/Tasks[[#This Row],[_LeafTotalCost]])</f>
        <v>0</v>
      </c>
      <c r="CQ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3" s="41" t="n">
        <f aca="false">IF(NOT(Tasks[[#This Row],[_IsLeaf]]=1),0,MAX(_xlfn.MAXIFS(Tasks[_Row],Tasks[Pred1 UID],Tasks[[#This Row],[UID]]),_xlfn.MAXIFS(Tasks[_Row],Tasks[Pred2 UID],Tasks[[#This Row],[UID]]),_xlfn.MAXIFS(Tasks[_Row],Tasks[Pred3 UID],Tasks[[#This Row],[UID]]),_xlfn.MAXIFS(Tasks[_Row],Tasks[Pred4 UID],Tasks[[#This Row],[UID]])))</f>
        <v>0</v>
      </c>
      <c r="CZ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3" s="101" t="str">
        <f aca="false">IF(NOT(Tasks[[#This Row],[_IsLeaf]]=1),"",IF(N(Tasks[[#This Row],[Duration]])&lt;=0,Tasks[[#This Row],[_LeafLateFinish]],WORKDAY.INTL(Tasks[[#This Row],[_LeafLateFinish]],-(Tasks[[#This Row],[Duration]]-1),WorkWeek,Holidays)))</f>
        <v/>
      </c>
      <c r="DC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3" s="100" t="b">
        <f aca="false">AND(Tasks[[#This Row],[_IsLeaf]]=1,Tasks[[#This Row],[_LeafProgress]]&lt;1,N(Tasks[[#This Row],[_LeafTotalSlack]])&lt;=CriticalSlackDays)</f>
        <v>0</v>
      </c>
      <c r="DE53" s="41" t="n">
        <f aca="false">IF(AND(Tasks[[#This Row],[_IsLeaf]]=1,Tasks[[#This Row],[_ConstraintCode]]=1,Tasks[[#This Row],[Mode]]&lt;&gt;"Manual",N(Tasks[[#This Row],[Actual Start]])=0),MAX(0,N(Tasks[[#This Row],[Free Slack]])),0)</f>
        <v>0</v>
      </c>
      <c r="DF53" s="101" t="str">
        <f aca="false">IF(NOT(Tasks[[#This Row],[_IsLeaf]]=1),"",IF(Tasks[[#This Row],[_AlapShift]]=0,Tasks[[#This Row],[_LeafCalcStart]],WORKDAY.INTL(Tasks[[#This Row],[_LeafCalcStart]],Tasks[[#This Row],[_AlapShift]],WorkWeek,Holidays)))</f>
        <v/>
      </c>
      <c r="DG53" s="101" t="str">
        <f aca="false">IF(NOT(Tasks[[#This Row],[_IsLeaf]]=1),"",IF(Tasks[[#This Row],[_AlapShift]]=0,Tasks[[#This Row],[_LeafCalcFinish]],WORKDAY.INTL(Tasks[[#This Row],[_LeafCalcFinish]],Tasks[[#This Row],[_AlapShift]],WorkWeek,Holidays)))</f>
        <v/>
      </c>
      <c r="DH53" s="101" t="str">
        <f aca="false">IF(NOT(Tasks[[#This Row],[_IsLeaf]]=1),"",IF(Tasks[[#This Row],[_AlapShift]]=0,Tasks[[#This Row],[_LeafFcstStart]],WORKDAY.INTL(Tasks[[#This Row],[_LeafFcstStart]],Tasks[[#This Row],[_AlapShift]],WorkWeek,Holidays)))</f>
        <v/>
      </c>
      <c r="DI53" s="101" t="str">
        <f aca="false">IF(NOT(Tasks[[#This Row],[_IsLeaf]]=1),"",IF(Tasks[[#This Row],[_AlapShift]]=0,Tasks[[#This Row],[_LeafFcstFinish]],WORKDAY.INTL(Tasks[[#This Row],[_LeafFcstFinish]],Tasks[[#This Row],[_AlapShift]],WorkWeek,Holidays)))</f>
        <v/>
      </c>
      <c r="DJ53" s="101" t="str">
        <f aca="false">IF(Tasks[[#This Row],[Task Name]]="","",IF(Tasks[[#This Row],[_IsSummary]],MIN(INDEX(Tasks[_ShownCalcStart],Tasks[[#This Row],[_Row]]+1):INDEX(Tasks[_ShownCalcStart],Tasks[[#This Row],[_Row]]+Tasks[[#This Row],[_Descendants]])),Tasks[[#This Row],[_ShownCalcStart]]))</f>
        <v/>
      </c>
      <c r="DK53" s="101" t="str">
        <f aca="false">IF(Tasks[[#This Row],[Task Name]]="","",IF(Tasks[[#This Row],[_IsSummary]],MAX(INDEX(Tasks[_ShownCalcFinish],Tasks[[#This Row],[_Row]]+1):INDEX(Tasks[_ShownCalcFinish],Tasks[[#This Row],[_Row]]+Tasks[[#This Row],[_Descendants]])),Tasks[[#This Row],[_ShownCalcFinish]]))</f>
        <v/>
      </c>
      <c r="D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3" s="41" t="n">
        <f aca="false">IF(AND(Tasks[[#This Row],[_IsLeaf]]=1,Tasks[[#This Row],[_LeafTotalWork]]&gt;0),NETWORKDAYS.INTL(ProjectStart,Tasks[[#This Row],[_ShownFcstStart]],WorkWeek,Holidays),0)</f>
        <v>0</v>
      </c>
      <c r="DY53" s="41" t="n">
        <f aca="false">IF(AND(Tasks[[#This Row],[_IsLeaf]]=1,Tasks[[#This Row],[_LeafTotalWork]]&gt;0),MAX(Tasks[[#This Row],[_StartWorkday]],NETWORKDAYS.INTL(ProjectStart,Tasks[[#This Row],[_ShownFcstFinish]],WorkWeek,Holidays)),0)</f>
        <v>0</v>
      </c>
      <c r="DZ53" s="41" t="n">
        <f aca="false">IF(AND(Tasks[[#This Row],[_IsLeaf]]=1,Tasks[[#This Row],[_LeafTotalWork]]&gt;0),Tasks[[#This Row],[_LeafWork]]/(Tasks[[#This Row],[_FinishWorkday]]-Tasks[[#This Row],[_StartWorkday]]+1),0)</f>
        <v>0</v>
      </c>
      <c r="EA53" s="41" t="n">
        <f aca="false">Tasks[[#This Row],[_WorkPerWorkday]]*(Tasks[[#This Row],[_StartWorkday]]-1)</f>
        <v>-0</v>
      </c>
      <c r="EB53" s="41" t="n">
        <f aca="false">IF(Tasks[[#This Row],[_IsLeaf]]=1,MAX(N(Tasks[[#This Row],[Duration]]),0.1),0)</f>
        <v>0</v>
      </c>
      <c r="EC53" s="41" t="n">
        <f aca="false">Tasks[[#This Row],[_WeightDur]]*Tasks[[#This Row],[_LeafProgress]]</f>
        <v>0</v>
      </c>
      <c r="ED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3" s="41" t="str">
        <f aca="false">IF(AND(Tasks[[#This Row],[_IsLeaf]]=1,N(Tasks[[#This Row],[Duration]])=0,Tasks[[#This Row],[_LeafProgress]]&lt;1),Tasks[[#This Row],[_ShownFcstFinish]]+Tasks[[#This Row],[_Row]]/100000,"")</f>
        <v/>
      </c>
      <c r="EF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3" s="41" t="n">
        <f aca="false">IF(NOT(Tasks[[#This Row],[_IsLeaf]]=1),0,IF(Tasks[[#This Row],[Baseline Cost]]="",Tasks[[#This Row],[_LeafTotalCost]],N(Tasks[[#This Row],[Baseline Cost]])))</f>
        <v>0</v>
      </c>
      <c r="EH53" s="41" t="n">
        <f aca="false">Tasks[[#This Row],[_LeafBudget]]*Tasks[[#This Row],[_PlannedPct]]</f>
        <v>0</v>
      </c>
      <c r="EI53" s="41" t="n">
        <f aca="false">Tasks[[#This Row],[_LeafBudget]]*Tasks[[#This Row],[_LeafProgress]]</f>
        <v>0</v>
      </c>
      <c r="EJ53" s="41" t="n">
        <f aca="false">IF(NOT(Tasks[[#This Row],[_IsLeaf]]=1),0,IF(Tasks[[#This Row],[Actual Cost]]="",Tasks[[#This Row],[_LeafTotalCost]]*Tasks[[#This Row],[_LeafProgress]],N(Tasks[[#This Row],[Actual Cost]])))</f>
        <v>0</v>
      </c>
      <c r="EK53" s="41" t="str">
        <f aca="false">IF(Tasks[[#This Row],[Task Name]]="","",LEFT(Tasks[[#This Row],[WBS]],FIND(".",Tasks[[#This Row],[WBS]]&amp;".")-1))</f>
        <v/>
      </c>
      <c r="EL53" s="41" t="str">
        <f aca="false">IF(AND(Tasks[[#This Row],[Task Name]]&lt;&gt;"",Tasks[[#This Row],[_Level]]=1),Tasks[[#This Row],[_Row]],"")</f>
        <v/>
      </c>
      <c r="EM53" s="41" t="str">
        <f aca="false">IF(AND(Tasks[[#This Row],[_IsLeaf]]=1,N(Tasks[[#This Row],[Duration]])=0),Tasks[[#This Row],[Planned Finish]]+Tasks[[#This Row],[_Row]]/100000,"")</f>
        <v/>
      </c>
      <c r="EN53" s="41" t="str">
        <f aca="false">IF(AND(Tasks[[#This Row],[_IsLeaf]]=1,Tasks[[#This Row],[_LeafProgress]]&lt;1,OR(N(Tasks[[#This Row],[Finish Var]])&gt;0,Tasks[[#This Row],[Status]]="Late Start")),MAX(0,Tasks[[#This Row],[Finish Var]])+1-Tasks[[#This Row],[_Row]]/1000000,"")</f>
        <v/>
      </c>
      <c r="EO53" s="41" t="str">
        <f aca="false">IF(AND(Tasks[[#This Row],[_IsLeaf]]=1,N(Tasks[[#This Row],[Actual Start]])=0,Tasks[[#This Row],[_ShownFcstStart]]&gt;=StatusDate,Tasks[[#This Row],[_ShownFcstStart]]&lt;=LookaheadEnd),Tasks[[#This Row],[_ShownFcstStart]]+Tasks[[#This Row],[_Row]]/100000,"")</f>
        <v/>
      </c>
      <c r="EP53" s="41" t="str">
        <f aca="false">IF(AND(Tasks[[#This Row],[_IsLeaf]]=1,Tasks[[#This Row],[_LeafProgress]]&lt;1,Tasks[[#This Row],[_ShownFcstFinish]]&gt;=StatusDate,Tasks[[#This Row],[_ShownFcstFinish]]&lt;=LookaheadEnd),Tasks[[#This Row],[_ShownFcstFinish]]+Tasks[[#This Row],[_Row]]/100000,"")</f>
        <v/>
      </c>
      <c r="EQ53" s="41" t="str">
        <f aca="false">IF(Tasks[[#This Row],[_LeafCritical]],Tasks[[#This Row],[_ShownFcstStart]]+Tasks[[#This Row],[_Row]]/100000,"")</f>
        <v/>
      </c>
      <c r="ER53" s="41" t="n">
        <f aca="false">Tasks[[#This Row],[_LeafWork]]*Tasks[[#This Row],[_LeafProgress]]</f>
        <v>0</v>
      </c>
      <c r="ES53" s="101" t="str">
        <f aca="false">IF(AND(Tasks[[#This Row],[_IsLeaf]]=1,Tasks[[#This Row],[_LeafProgress]]&gt;=1),IF(N(Tasks[[#This Row],[Actual Finish]])&gt;0,Tasks[[#This Row],[Actual Finish]],Tasks[[#This Row],[_ShownFcstFinish]]),"")</f>
        <v/>
      </c>
      <c r="ET53" s="41" t="n">
        <f aca="false">IF(Tasks[[#This Row],[_IsLeaf]]=1,N(Tasks[[#This Row],[Story Points]]),0)</f>
        <v>0</v>
      </c>
      <c r="EU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29"/>
      <c r="O54" s="29"/>
      <c r="P54" s="29"/>
      <c r="Q54" s="29"/>
      <c r="R54" s="29"/>
      <c r="S54" s="29"/>
      <c r="T54" s="30"/>
      <c r="U54" s="75"/>
      <c r="V54" s="75"/>
      <c r="W54" s="25" t="str">
        <f aca="false">IF(Tasks[[#This Row],[Task Name]]="","",IF(N(Tasks[[#This Row],[Baseline Start]])&gt;0,Tasks[[#This Row],[Baseline Start]],Tasks[[#This Row],[_CalcStart]]))</f>
        <v/>
      </c>
      <c r="X54" s="25" t="str">
        <f aca="false">IF(Tasks[[#This Row],[Task Name]]="","",IF(N(Tasks[[#This Row],[Baseline Finish]])&gt;0,Tasks[[#This Row],[Baseline Finish]],Tasks[[#This Row],[_CalcFinish]]))</f>
        <v/>
      </c>
      <c r="Y54" s="75"/>
      <c r="Z54" s="75"/>
      <c r="AA54" s="25" t="str">
        <f aca="false">IF(Tasks[[#This Row],[Task Name]]="","",IF(Tasks[[#This Row],[_IsSummary]],MIN(INDEX(Tasks[_ShownFcstStart],Tasks[[#This Row],[_Row]]+1):INDEX(Tasks[_ShownFcstStart],Tasks[[#This Row],[_Row]]+Tasks[[#This Row],[_Descendants]])),Tasks[[#This Row],[_ShownFcstStart]]))</f>
        <v/>
      </c>
      <c r="AB54" s="25" t="str">
        <f aca="false">IF(Tasks[[#This Row],[Task Name]]="","",IF(Tasks[[#This Row],[_IsSummary]],MAX(INDEX(Tasks[_ShownFcstFinish],Tasks[[#This Row],[_Row]]+1):INDEX(Tasks[_ShownFcstFinish],Tasks[[#This Row],[_Row]]+Tasks[[#This Row],[_Descendants]])),Tasks[[#This Row],[_ShownFcstFinish]]))</f>
        <v/>
      </c>
      <c r="AC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4" s="25" t="str">
        <f aca="false">IF(Tasks[[#This Row],[Task Name]]="","",IF(Tasks[[#This Row],[_IsSummary]],MIN(INDEX(Tasks[_LeafLateStart],Tasks[[#This Row],[_Row]]+1):INDEX(Tasks[_LeafLateStart],Tasks[[#This Row],[_Row]]+Tasks[[#This Row],[_Descendants]])),Tasks[[#This Row],[_LeafLateStart]]))</f>
        <v/>
      </c>
      <c r="AF54" s="25" t="str">
        <f aca="false">IF(Tasks[[#This Row],[Task Name]]="","",IF(Tasks[[#This Row],[_IsSummary]],MAX(INDEX(Tasks[_LeafLateFinish],Tasks[[#This Row],[_Row]]+1):INDEX(Tasks[_LeafLateFinish],Tasks[[#This Row],[_Row]]+Tasks[[#This Row],[_Descendants]])),Tasks[[#This Row],[_LeafLateFinish]]))</f>
        <v/>
      </c>
      <c r="AG54" s="28" t="str">
        <f aca="false">IF(Tasks[[#This Row],[Task Name]]="","",IF(Tasks[[#This Row],[_IsSummary]],MIN(INDEX(Tasks[_LeafTotalSlack],Tasks[[#This Row],[_Row]]+1):INDEX(Tasks[_LeafTotalSlack],Tasks[[#This Row],[_Row]]+Tasks[[#This Row],[_Descendants]])),Tasks[[#This Row],[_LeafTotalSlack]]))</f>
        <v/>
      </c>
      <c r="AH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4" s="28" t="str">
        <f aca="false">IF(Tasks[[#This Row],[Task Name]]="","",IF(IF(Tasks[[#This Row],[_IsSummary]],COUNTIF(INDEX(Tasks[_LeafCritical],Tasks[[#This Row],[_Row]]+1):INDEX(Tasks[_LeafCritical],Tasks[[#This Row],[_Row]]+Tasks[[#This Row],[_Descendants]]),TRUE())&gt;0,Tasks[[#This Row],[_LeafCritical]]),"Yes",""))</f>
        <v/>
      </c>
      <c r="AJ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4" s="89"/>
      <c r="AM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4" s="28" t="str">
        <f aca="false">IF(Tasks[[#This Row],[Task Name]]="","",IF(Tasks[[#This Row],[Progress]]&gt;=1,"Complete",IF(OR(N(Tasks[[#This Row],[Actual Start]])&gt;0,Tasks[[#This Row],[Progress]]&gt;0),IF(Tasks[[#This Row],[Finish Var]]&gt;0,"Behind","In Progress"),IF(Tasks[[#This Row],[Planned Start]]&lt;StatusDate,"Late Start","Not Started"))))</f>
        <v/>
      </c>
      <c r="AO54" s="30"/>
      <c r="AP54" s="89"/>
      <c r="AQ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4" s="96" t="str">
        <f aca="false">IF(Tasks[[#This Row],[Task Name]]="","",IF(Tasks[[#This Row],[_IsSummary]],SUM(INDEX(Tasks[_LeafTotalWork],Tasks[[#This Row],[_Row]]+1):INDEX(Tasks[_LeafTotalWork],Tasks[[#This Row],[_Row]]+Tasks[[#This Row],[_Descendants]])),Tasks[[#This Row],[_LeafTotalWork]]))</f>
        <v/>
      </c>
      <c r="AT54" s="97" t="str">
        <f aca="false">IF(Tasks[[#This Row],[Task Name]]="","",IF(Tasks[[#This Row],[_IsSummary]],SUM(INDEX(Tasks[_LeafTotalCost],Tasks[[#This Row],[_Row]]+1):INDEX(Tasks[_LeafTotalCost],Tasks[[#This Row],[_Row]]+Tasks[[#This Row],[_Descendants]])),Tasks[[#This Row],[_LeafTotalCost]]))</f>
        <v/>
      </c>
      <c r="AU54" s="98"/>
      <c r="AV54" s="29"/>
      <c r="AW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4" s="83"/>
      <c r="AY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4" s="30"/>
      <c r="BA54" s="25" t="str">
        <f aca="false">IF(Tasks[[#This Row],[Task Name]]="","",Tasks[[#This Row],[Forecast Start]])</f>
        <v/>
      </c>
      <c r="BB54" s="25" t="str">
        <f aca="false">IF(Tasks[[#This Row],[Task Name]]="","",Tasks[[#This Row],[Forecast Finish]])</f>
        <v/>
      </c>
      <c r="BC54" s="28" t="str">
        <f aca="false">IF(Tasks[[#This Row],[Task Name]]="","",IF(Tasks[[#This Row],[_IsSummary]],NETWORKDAYS.INTL(Tasks[[#This Row],[Forecast Start]],Tasks[[#This Row],[Forecast Finish]],WorkWeek,Holidays),N(Tasks[[#This Row],[Duration]])))</f>
        <v/>
      </c>
      <c r="BD54" s="96" t="str">
        <f aca="false">IF(Tasks[[#This Row],[Task Name]]="","",Tasks[[#This Row],[Work]])</f>
        <v/>
      </c>
      <c r="BE54" s="97" t="str">
        <f aca="false">IF(Tasks[[#This Row],[Task Name]]="","",Tasks[[#This Row],[Cost]])</f>
        <v/>
      </c>
      <c r="BF54" s="75"/>
      <c r="BG54" s="75"/>
      <c r="BH54" s="29"/>
      <c r="BI54" s="99"/>
      <c r="BJ54" s="98"/>
      <c r="BK54" s="28" t="str">
        <f aca="false">IF(OR(Tasks[[#This Row],[Task Name]]="",Tasks[[#This Row],[Baseline Duration]]=""),"",Tasks[[#This Row],[BL Source Duration]]-N(Tasks[[#This Row],[Baseline Duration]]))</f>
        <v/>
      </c>
      <c r="BL54" s="96" t="str">
        <f aca="false">IF(OR(Tasks[[#This Row],[Task Name]]="",Tasks[[#This Row],[Baseline Work]]=""),"",Tasks[[#This Row],[Work]]-N(Tasks[[#This Row],[Baseline Work]]))</f>
        <v/>
      </c>
      <c r="BM54" s="97" t="str">
        <f aca="false">IF(OR(Tasks[[#This Row],[Task Name]]="",Tasks[[#This Row],[Baseline Cost]]=""),"",Tasks[[#This Row],[Cost]]-N(Tasks[[#This Row],[Baseline Cost]]))</f>
        <v/>
      </c>
      <c r="BN54" s="97" t="str">
        <f aca="false">IF(Tasks[[#This Row],[Task Name]]="","",IF(Tasks[[#This Row],[_IsSummary]],SUM(INDEX(Tasks[_LeafBudget],Tasks[[#This Row],[_Row]]+1):INDEX(Tasks[_LeafBudget],Tasks[[#This Row],[_Row]]+Tasks[[#This Row],[_Descendants]])),Tasks[[#This Row],[_LeafBudget]]))</f>
        <v/>
      </c>
      <c r="BO54" s="97" t="str">
        <f aca="false">IF(Tasks[[#This Row],[Task Name]]="","",IF(Tasks[[#This Row],[_IsSummary]],SUM(INDEX(Tasks[_LeafPV],Tasks[[#This Row],[_Row]]+1):INDEX(Tasks[_LeafPV],Tasks[[#This Row],[_Row]]+Tasks[[#This Row],[_Descendants]])),Tasks[[#This Row],[_LeafPV]]))</f>
        <v/>
      </c>
      <c r="BP54" s="97" t="str">
        <f aca="false">IF(Tasks[[#This Row],[Task Name]]="","",IF(Tasks[[#This Row],[_IsSummary]],SUM(INDEX(Tasks[_LeafEV],Tasks[[#This Row],[_Row]]+1):INDEX(Tasks[_LeafEV],Tasks[[#This Row],[_Row]]+Tasks[[#This Row],[_Descendants]])),Tasks[[#This Row],[_LeafEV]]))</f>
        <v/>
      </c>
      <c r="BQ54" s="97" t="str">
        <f aca="false">IF(Tasks[[#This Row],[Task Name]]="","",IF(Tasks[[#This Row],[_IsSummary]],SUM(INDEX(Tasks[_LeafAC],Tasks[[#This Row],[_Row]]+1):INDEX(Tasks[_LeafAC],Tasks[[#This Row],[_Row]]+Tasks[[#This Row],[_Descendants]])),Tasks[[#This Row],[_LeafAC]]))</f>
        <v/>
      </c>
      <c r="BR54" s="41" t="str">
        <f aca="false">IF(Tasks[[#This Row],[Task Name]]="","",MAX(1,N(Tasks[[#This Row],[Level]])))</f>
        <v/>
      </c>
      <c r="BS54" s="41" t="n">
        <f aca="false">ROW()-ROW(Tasks[[#Headers],[ID]])</f>
        <v>49</v>
      </c>
      <c r="BT54" s="41" t="n">
        <f aca="false">IF(OR(Tasks[[#This Row],[Task Name]]="",Tasks[[#This Row],[_Level]]&lt;=1),0,IFERROR(LOOKUP(2,1/(Tasks[[#Headers],[_Level]]:Tasks[[#This Row],[_Level]]=Tasks[[#This Row],[_Level]]-1),ROW(Tasks[[#Headers],[_Level]]:Tasks[[#This Row],[_Level]])),0))</f>
        <v>0</v>
      </c>
      <c r="BU54" s="41" t="n">
        <f aca="false">IFERROR(N(INDEX(Tasks[_Level],Tasks[[#This Row],[_Row]]+1)),0)</f>
        <v>0</v>
      </c>
      <c r="BV54" s="100" t="b">
        <f aca="false">AND(Tasks[[#This Row],[Task Name]]&lt;&gt;"",Tasks[[#This Row],[_NextLevel]]&gt;Tasks[[#This Row],[_Level]])</f>
        <v>0</v>
      </c>
      <c r="BW54" s="41" t="n">
        <f aca="false">IF(Tasks[[#This Row],[_IsSummary]],COUNTIF(Tasks[WBS],Tasks[[#This Row],[WBS]]&amp;".*"),0)</f>
        <v>0</v>
      </c>
      <c r="BX54" s="41" t="n">
        <f aca="false">IF(AND(Tasks[[#This Row],[Task Name]]&lt;&gt;"",NOT(Tasks[[#This Row],[_IsSummary]])),1,0)</f>
        <v>0</v>
      </c>
      <c r="BY54" s="41" t="n">
        <f aca="false">IF(N(Tasks[[#This Row],[Pred1 UID]])=0,0,IFERROR(MATCH(Tasks[[#This Row],[Pred1 UID]],Tasks[UID],0),-1))</f>
        <v>0</v>
      </c>
      <c r="BZ54" s="41" t="n">
        <f aca="false">IF(N(Tasks[[#This Row],[Pred2 UID]])=0,0,IFERROR(MATCH(Tasks[[#This Row],[Pred2 UID]],Tasks[UID],0),-1))</f>
        <v>0</v>
      </c>
      <c r="CA54" s="41" t="n">
        <f aca="false">IF(N(Tasks[[#This Row],[Pred3 UID]])=0,0,IFERROR(MATCH(Tasks[[#This Row],[Pred3 UID]],Tasks[UID],0),-1))</f>
        <v>0</v>
      </c>
      <c r="CB54" s="41" t="n">
        <f aca="false">IF(N(Tasks[[#This Row],[Pred4 UID]])=0,0,IFERROR(MATCH(Tasks[[#This Row],[Pred4 UID]],Tasks[UID],0),-1))</f>
        <v>0</v>
      </c>
      <c r="CC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4" s="101" t="n">
        <f aca="false">IF(OR(Tasks[[#This Row],[_ConstraintCode]]=2,Tasks[[#This Row],[_ConstraintCode]]=3,Tasks[[#This Row],[_ConstraintCode]]=4,Tasks[[#This Row],[_ConstraintCode]]=6),Tasks[[#This Row],[_ConstraintStart]],0)</f>
        <v>0</v>
      </c>
      <c r="CF54" s="101" t="n">
        <f aca="false">IF(OR(Tasks[[#This Row],[_ConstraintCode]]=2,Tasks[[#This Row],[_ConstraintCode]]=3,Tasks[[#This Row],[_ConstraintCode]]=5,Tasks[[#This Row],[_ConstraintCode]]=7),Tasks[[#This Row],[_ConstraintStart]],2958465)</f>
        <v>2958465</v>
      </c>
      <c r="CG5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4" s="101" t="str">
        <f aca="false">IF(NOT(Tasks[[#This Row],[_IsLeaf]]=1),"",IF(N(Tasks[[#This Row],[Duration]])&lt;=0,Tasks[[#This Row],[_LeafCalcStart]],WORKDAY.INTL(Tasks[[#This Row],[_LeafCalcStart]],Tasks[[#This Row],[Duration]]-1,WorkWeek,Holidays)))</f>
        <v/>
      </c>
      <c r="CI5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4" s="41" t="n">
        <f aca="false">IF(NOT(Tasks[[#This Row],[_IsLeaf]]=1),0,IF(N(Tasks[[#This Row],[Actual Finish]])&gt;0,1,MIN(1,N(Tasks[[#This Row],[% Complete]]))))</f>
        <v>0</v>
      </c>
      <c r="CL54" s="41" t="n">
        <f aca="false">IF(OR(NOT(Tasks[[#This Row],[_IsLeaf]]=1),Tasks[[#This Row],[Resource]]=""),0,N(Tasks[[#This Row],[Duration]])*HoursPerDay*IF(Tasks[[#This Row],[Units]]="",DefaultUnits,Tasks[[#This Row],[Units]]))</f>
        <v>0</v>
      </c>
      <c r="CM54" s="41" t="n">
        <f aca="false">IF(Tasks[[#This Row],[_LeafWork]]=0,0,Tasks[[#This Row],[_LeafWork]]*IFERROR(INDEX(res_Rate,MATCH(Tasks[[#This Row],[Resource]],res_Name,0)),0))</f>
        <v>0</v>
      </c>
      <c r="CN54" s="41" t="n">
        <f aca="false">Tasks[[#This Row],[_LeafWork]]+IF(Tasks[[#This Row],[_IsLeaf]]=1,SUMIFS(asg_Work,asg_TaskUID,Tasks[[#This Row],[UID]],asg_Valid,1),0)</f>
        <v>0</v>
      </c>
      <c r="CO54" s="41" t="n">
        <f aca="false">Tasks[[#This Row],[_LeafCost]]+IF(Tasks[[#This Row],[_IsLeaf]]=1,SUMIFS(asg_Cost,asg_TaskUID,Tasks[[#This Row],[UID]],asg_Valid,1),0)</f>
        <v>0</v>
      </c>
      <c r="CP54" s="41" t="n">
        <f aca="false">IF(Tasks[[#This Row],[_LeafTotalCost]]=0,Tasks[[#This Row],[_LeafAC]],Tasks[[#This Row],[_LeafAC]]*Tasks[[#This Row],[_LeafCost]]/Tasks[[#This Row],[_LeafTotalCost]])</f>
        <v>0</v>
      </c>
      <c r="CQ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4" s="41" t="n">
        <f aca="false">IF(NOT(Tasks[[#This Row],[_IsLeaf]]=1),0,MAX(_xlfn.MAXIFS(Tasks[_Row],Tasks[Pred1 UID],Tasks[[#This Row],[UID]]),_xlfn.MAXIFS(Tasks[_Row],Tasks[Pred2 UID],Tasks[[#This Row],[UID]]),_xlfn.MAXIFS(Tasks[_Row],Tasks[Pred3 UID],Tasks[[#This Row],[UID]]),_xlfn.MAXIFS(Tasks[_Row],Tasks[Pred4 UID],Tasks[[#This Row],[UID]])))</f>
        <v>0</v>
      </c>
      <c r="CZ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4" s="101" t="str">
        <f aca="false">IF(NOT(Tasks[[#This Row],[_IsLeaf]]=1),"",IF(N(Tasks[[#This Row],[Duration]])&lt;=0,Tasks[[#This Row],[_LeafLateFinish]],WORKDAY.INTL(Tasks[[#This Row],[_LeafLateFinish]],-(Tasks[[#This Row],[Duration]]-1),WorkWeek,Holidays)))</f>
        <v/>
      </c>
      <c r="DC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4" s="100" t="b">
        <f aca="false">AND(Tasks[[#This Row],[_IsLeaf]]=1,Tasks[[#This Row],[_LeafProgress]]&lt;1,N(Tasks[[#This Row],[_LeafTotalSlack]])&lt;=CriticalSlackDays)</f>
        <v>0</v>
      </c>
      <c r="DE54" s="41" t="n">
        <f aca="false">IF(AND(Tasks[[#This Row],[_IsLeaf]]=1,Tasks[[#This Row],[_ConstraintCode]]=1,Tasks[[#This Row],[Mode]]&lt;&gt;"Manual",N(Tasks[[#This Row],[Actual Start]])=0),MAX(0,N(Tasks[[#This Row],[Free Slack]])),0)</f>
        <v>0</v>
      </c>
      <c r="DF54" s="101" t="str">
        <f aca="false">IF(NOT(Tasks[[#This Row],[_IsLeaf]]=1),"",IF(Tasks[[#This Row],[_AlapShift]]=0,Tasks[[#This Row],[_LeafCalcStart]],WORKDAY.INTL(Tasks[[#This Row],[_LeafCalcStart]],Tasks[[#This Row],[_AlapShift]],WorkWeek,Holidays)))</f>
        <v/>
      </c>
      <c r="DG54" s="101" t="str">
        <f aca="false">IF(NOT(Tasks[[#This Row],[_IsLeaf]]=1),"",IF(Tasks[[#This Row],[_AlapShift]]=0,Tasks[[#This Row],[_LeafCalcFinish]],WORKDAY.INTL(Tasks[[#This Row],[_LeafCalcFinish]],Tasks[[#This Row],[_AlapShift]],WorkWeek,Holidays)))</f>
        <v/>
      </c>
      <c r="DH54" s="101" t="str">
        <f aca="false">IF(NOT(Tasks[[#This Row],[_IsLeaf]]=1),"",IF(Tasks[[#This Row],[_AlapShift]]=0,Tasks[[#This Row],[_LeafFcstStart]],WORKDAY.INTL(Tasks[[#This Row],[_LeafFcstStart]],Tasks[[#This Row],[_AlapShift]],WorkWeek,Holidays)))</f>
        <v/>
      </c>
      <c r="DI54" s="101" t="str">
        <f aca="false">IF(NOT(Tasks[[#This Row],[_IsLeaf]]=1),"",IF(Tasks[[#This Row],[_AlapShift]]=0,Tasks[[#This Row],[_LeafFcstFinish]],WORKDAY.INTL(Tasks[[#This Row],[_LeafFcstFinish]],Tasks[[#This Row],[_AlapShift]],WorkWeek,Holidays)))</f>
        <v/>
      </c>
      <c r="DJ54" s="101" t="str">
        <f aca="false">IF(Tasks[[#This Row],[Task Name]]="","",IF(Tasks[[#This Row],[_IsSummary]],MIN(INDEX(Tasks[_ShownCalcStart],Tasks[[#This Row],[_Row]]+1):INDEX(Tasks[_ShownCalcStart],Tasks[[#This Row],[_Row]]+Tasks[[#This Row],[_Descendants]])),Tasks[[#This Row],[_ShownCalcStart]]))</f>
        <v/>
      </c>
      <c r="DK54" s="101" t="str">
        <f aca="false">IF(Tasks[[#This Row],[Task Name]]="","",IF(Tasks[[#This Row],[_IsSummary]],MAX(INDEX(Tasks[_ShownCalcFinish],Tasks[[#This Row],[_Row]]+1):INDEX(Tasks[_ShownCalcFinish],Tasks[[#This Row],[_Row]]+Tasks[[#This Row],[_Descendants]])),Tasks[[#This Row],[_ShownCalcFinish]]))</f>
        <v/>
      </c>
      <c r="D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4" s="41" t="n">
        <f aca="false">IF(AND(Tasks[[#This Row],[_IsLeaf]]=1,Tasks[[#This Row],[_LeafTotalWork]]&gt;0),NETWORKDAYS.INTL(ProjectStart,Tasks[[#This Row],[_ShownFcstStart]],WorkWeek,Holidays),0)</f>
        <v>0</v>
      </c>
      <c r="DY54" s="41" t="n">
        <f aca="false">IF(AND(Tasks[[#This Row],[_IsLeaf]]=1,Tasks[[#This Row],[_LeafTotalWork]]&gt;0),MAX(Tasks[[#This Row],[_StartWorkday]],NETWORKDAYS.INTL(ProjectStart,Tasks[[#This Row],[_ShownFcstFinish]],WorkWeek,Holidays)),0)</f>
        <v>0</v>
      </c>
      <c r="DZ54" s="41" t="n">
        <f aca="false">IF(AND(Tasks[[#This Row],[_IsLeaf]]=1,Tasks[[#This Row],[_LeafTotalWork]]&gt;0),Tasks[[#This Row],[_LeafWork]]/(Tasks[[#This Row],[_FinishWorkday]]-Tasks[[#This Row],[_StartWorkday]]+1),0)</f>
        <v>0</v>
      </c>
      <c r="EA54" s="41" t="n">
        <f aca="false">Tasks[[#This Row],[_WorkPerWorkday]]*(Tasks[[#This Row],[_StartWorkday]]-1)</f>
        <v>-0</v>
      </c>
      <c r="EB54" s="41" t="n">
        <f aca="false">IF(Tasks[[#This Row],[_IsLeaf]]=1,MAX(N(Tasks[[#This Row],[Duration]]),0.1),0)</f>
        <v>0</v>
      </c>
      <c r="EC54" s="41" t="n">
        <f aca="false">Tasks[[#This Row],[_WeightDur]]*Tasks[[#This Row],[_LeafProgress]]</f>
        <v>0</v>
      </c>
      <c r="ED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4" s="41" t="str">
        <f aca="false">IF(AND(Tasks[[#This Row],[_IsLeaf]]=1,N(Tasks[[#This Row],[Duration]])=0,Tasks[[#This Row],[_LeafProgress]]&lt;1),Tasks[[#This Row],[_ShownFcstFinish]]+Tasks[[#This Row],[_Row]]/100000,"")</f>
        <v/>
      </c>
      <c r="EF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4" s="41" t="n">
        <f aca="false">IF(NOT(Tasks[[#This Row],[_IsLeaf]]=1),0,IF(Tasks[[#This Row],[Baseline Cost]]="",Tasks[[#This Row],[_LeafTotalCost]],N(Tasks[[#This Row],[Baseline Cost]])))</f>
        <v>0</v>
      </c>
      <c r="EH54" s="41" t="n">
        <f aca="false">Tasks[[#This Row],[_LeafBudget]]*Tasks[[#This Row],[_PlannedPct]]</f>
        <v>0</v>
      </c>
      <c r="EI54" s="41" t="n">
        <f aca="false">Tasks[[#This Row],[_LeafBudget]]*Tasks[[#This Row],[_LeafProgress]]</f>
        <v>0</v>
      </c>
      <c r="EJ54" s="41" t="n">
        <f aca="false">IF(NOT(Tasks[[#This Row],[_IsLeaf]]=1),0,IF(Tasks[[#This Row],[Actual Cost]]="",Tasks[[#This Row],[_LeafTotalCost]]*Tasks[[#This Row],[_LeafProgress]],N(Tasks[[#This Row],[Actual Cost]])))</f>
        <v>0</v>
      </c>
      <c r="EK54" s="41" t="str">
        <f aca="false">IF(Tasks[[#This Row],[Task Name]]="","",LEFT(Tasks[[#This Row],[WBS]],FIND(".",Tasks[[#This Row],[WBS]]&amp;".")-1))</f>
        <v/>
      </c>
      <c r="EL54" s="41" t="str">
        <f aca="false">IF(AND(Tasks[[#This Row],[Task Name]]&lt;&gt;"",Tasks[[#This Row],[_Level]]=1),Tasks[[#This Row],[_Row]],"")</f>
        <v/>
      </c>
      <c r="EM54" s="41" t="str">
        <f aca="false">IF(AND(Tasks[[#This Row],[_IsLeaf]]=1,N(Tasks[[#This Row],[Duration]])=0),Tasks[[#This Row],[Planned Finish]]+Tasks[[#This Row],[_Row]]/100000,"")</f>
        <v/>
      </c>
      <c r="EN54" s="41" t="str">
        <f aca="false">IF(AND(Tasks[[#This Row],[_IsLeaf]]=1,Tasks[[#This Row],[_LeafProgress]]&lt;1,OR(N(Tasks[[#This Row],[Finish Var]])&gt;0,Tasks[[#This Row],[Status]]="Late Start")),MAX(0,Tasks[[#This Row],[Finish Var]])+1-Tasks[[#This Row],[_Row]]/1000000,"")</f>
        <v/>
      </c>
      <c r="EO54" s="41" t="str">
        <f aca="false">IF(AND(Tasks[[#This Row],[_IsLeaf]]=1,N(Tasks[[#This Row],[Actual Start]])=0,Tasks[[#This Row],[_ShownFcstStart]]&gt;=StatusDate,Tasks[[#This Row],[_ShownFcstStart]]&lt;=LookaheadEnd),Tasks[[#This Row],[_ShownFcstStart]]+Tasks[[#This Row],[_Row]]/100000,"")</f>
        <v/>
      </c>
      <c r="EP54" s="41" t="str">
        <f aca="false">IF(AND(Tasks[[#This Row],[_IsLeaf]]=1,Tasks[[#This Row],[_LeafProgress]]&lt;1,Tasks[[#This Row],[_ShownFcstFinish]]&gt;=StatusDate,Tasks[[#This Row],[_ShownFcstFinish]]&lt;=LookaheadEnd),Tasks[[#This Row],[_ShownFcstFinish]]+Tasks[[#This Row],[_Row]]/100000,"")</f>
        <v/>
      </c>
      <c r="EQ54" s="41" t="str">
        <f aca="false">IF(Tasks[[#This Row],[_LeafCritical]],Tasks[[#This Row],[_ShownFcstStart]]+Tasks[[#This Row],[_Row]]/100000,"")</f>
        <v/>
      </c>
      <c r="ER54" s="41" t="n">
        <f aca="false">Tasks[[#This Row],[_LeafWork]]*Tasks[[#This Row],[_LeafProgress]]</f>
        <v>0</v>
      </c>
      <c r="ES54" s="101" t="str">
        <f aca="false">IF(AND(Tasks[[#This Row],[_IsLeaf]]=1,Tasks[[#This Row],[_LeafProgress]]&gt;=1),IF(N(Tasks[[#This Row],[Actual Finish]])&gt;0,Tasks[[#This Row],[Actual Finish]],Tasks[[#This Row],[_ShownFcstFinish]]),"")</f>
        <v/>
      </c>
      <c r="ET54" s="41" t="n">
        <f aca="false">IF(Tasks[[#This Row],[_IsLeaf]]=1,N(Tasks[[#This Row],[Story Points]]),0)</f>
        <v>0</v>
      </c>
      <c r="EU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29"/>
      <c r="O55" s="29"/>
      <c r="P55" s="29"/>
      <c r="Q55" s="29"/>
      <c r="R55" s="29"/>
      <c r="S55" s="29"/>
      <c r="T55" s="30"/>
      <c r="U55" s="75"/>
      <c r="V55" s="75"/>
      <c r="W55" s="25" t="str">
        <f aca="false">IF(Tasks[[#This Row],[Task Name]]="","",IF(N(Tasks[[#This Row],[Baseline Start]])&gt;0,Tasks[[#This Row],[Baseline Start]],Tasks[[#This Row],[_CalcStart]]))</f>
        <v/>
      </c>
      <c r="X55" s="25" t="str">
        <f aca="false">IF(Tasks[[#This Row],[Task Name]]="","",IF(N(Tasks[[#This Row],[Baseline Finish]])&gt;0,Tasks[[#This Row],[Baseline Finish]],Tasks[[#This Row],[_CalcFinish]]))</f>
        <v/>
      </c>
      <c r="Y55" s="75"/>
      <c r="Z55" s="75"/>
      <c r="AA55" s="25" t="str">
        <f aca="false">IF(Tasks[[#This Row],[Task Name]]="","",IF(Tasks[[#This Row],[_IsSummary]],MIN(INDEX(Tasks[_ShownFcstStart],Tasks[[#This Row],[_Row]]+1):INDEX(Tasks[_ShownFcstStart],Tasks[[#This Row],[_Row]]+Tasks[[#This Row],[_Descendants]])),Tasks[[#This Row],[_ShownFcstStart]]))</f>
        <v/>
      </c>
      <c r="AB55" s="25" t="str">
        <f aca="false">IF(Tasks[[#This Row],[Task Name]]="","",IF(Tasks[[#This Row],[_IsSummary]],MAX(INDEX(Tasks[_ShownFcstFinish],Tasks[[#This Row],[_Row]]+1):INDEX(Tasks[_ShownFcstFinish],Tasks[[#This Row],[_Row]]+Tasks[[#This Row],[_Descendants]])),Tasks[[#This Row],[_ShownFcstFinish]]))</f>
        <v/>
      </c>
      <c r="AC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5" s="25" t="str">
        <f aca="false">IF(Tasks[[#This Row],[Task Name]]="","",IF(Tasks[[#This Row],[_IsSummary]],MIN(INDEX(Tasks[_LeafLateStart],Tasks[[#This Row],[_Row]]+1):INDEX(Tasks[_LeafLateStart],Tasks[[#This Row],[_Row]]+Tasks[[#This Row],[_Descendants]])),Tasks[[#This Row],[_LeafLateStart]]))</f>
        <v/>
      </c>
      <c r="AF55" s="25" t="str">
        <f aca="false">IF(Tasks[[#This Row],[Task Name]]="","",IF(Tasks[[#This Row],[_IsSummary]],MAX(INDEX(Tasks[_LeafLateFinish],Tasks[[#This Row],[_Row]]+1):INDEX(Tasks[_LeafLateFinish],Tasks[[#This Row],[_Row]]+Tasks[[#This Row],[_Descendants]])),Tasks[[#This Row],[_LeafLateFinish]]))</f>
        <v/>
      </c>
      <c r="AG55" s="28" t="str">
        <f aca="false">IF(Tasks[[#This Row],[Task Name]]="","",IF(Tasks[[#This Row],[_IsSummary]],MIN(INDEX(Tasks[_LeafTotalSlack],Tasks[[#This Row],[_Row]]+1):INDEX(Tasks[_LeafTotalSlack],Tasks[[#This Row],[_Row]]+Tasks[[#This Row],[_Descendants]])),Tasks[[#This Row],[_LeafTotalSlack]]))</f>
        <v/>
      </c>
      <c r="AH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5" s="28" t="str">
        <f aca="false">IF(Tasks[[#This Row],[Task Name]]="","",IF(IF(Tasks[[#This Row],[_IsSummary]],COUNTIF(INDEX(Tasks[_LeafCritical],Tasks[[#This Row],[_Row]]+1):INDEX(Tasks[_LeafCritical],Tasks[[#This Row],[_Row]]+Tasks[[#This Row],[_Descendants]]),TRUE())&gt;0,Tasks[[#This Row],[_LeafCritical]]),"Yes",""))</f>
        <v/>
      </c>
      <c r="AJ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5" s="89"/>
      <c r="AM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5" s="28" t="str">
        <f aca="false">IF(Tasks[[#This Row],[Task Name]]="","",IF(Tasks[[#This Row],[Progress]]&gt;=1,"Complete",IF(OR(N(Tasks[[#This Row],[Actual Start]])&gt;0,Tasks[[#This Row],[Progress]]&gt;0),IF(Tasks[[#This Row],[Finish Var]]&gt;0,"Behind","In Progress"),IF(Tasks[[#This Row],[Planned Start]]&lt;StatusDate,"Late Start","Not Started"))))</f>
        <v/>
      </c>
      <c r="AO55" s="30"/>
      <c r="AP55" s="89"/>
      <c r="AQ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5" s="96" t="str">
        <f aca="false">IF(Tasks[[#This Row],[Task Name]]="","",IF(Tasks[[#This Row],[_IsSummary]],SUM(INDEX(Tasks[_LeafTotalWork],Tasks[[#This Row],[_Row]]+1):INDEX(Tasks[_LeafTotalWork],Tasks[[#This Row],[_Row]]+Tasks[[#This Row],[_Descendants]])),Tasks[[#This Row],[_LeafTotalWork]]))</f>
        <v/>
      </c>
      <c r="AT55" s="97" t="str">
        <f aca="false">IF(Tasks[[#This Row],[Task Name]]="","",IF(Tasks[[#This Row],[_IsSummary]],SUM(INDEX(Tasks[_LeafTotalCost],Tasks[[#This Row],[_Row]]+1):INDEX(Tasks[_LeafTotalCost],Tasks[[#This Row],[_Row]]+Tasks[[#This Row],[_Descendants]])),Tasks[[#This Row],[_LeafTotalCost]]))</f>
        <v/>
      </c>
      <c r="AU55" s="98"/>
      <c r="AV55" s="29"/>
      <c r="AW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5" s="83"/>
      <c r="AY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5" s="30"/>
      <c r="BA55" s="25" t="str">
        <f aca="false">IF(Tasks[[#This Row],[Task Name]]="","",Tasks[[#This Row],[Forecast Start]])</f>
        <v/>
      </c>
      <c r="BB55" s="25" t="str">
        <f aca="false">IF(Tasks[[#This Row],[Task Name]]="","",Tasks[[#This Row],[Forecast Finish]])</f>
        <v/>
      </c>
      <c r="BC55" s="28" t="str">
        <f aca="false">IF(Tasks[[#This Row],[Task Name]]="","",IF(Tasks[[#This Row],[_IsSummary]],NETWORKDAYS.INTL(Tasks[[#This Row],[Forecast Start]],Tasks[[#This Row],[Forecast Finish]],WorkWeek,Holidays),N(Tasks[[#This Row],[Duration]])))</f>
        <v/>
      </c>
      <c r="BD55" s="96" t="str">
        <f aca="false">IF(Tasks[[#This Row],[Task Name]]="","",Tasks[[#This Row],[Work]])</f>
        <v/>
      </c>
      <c r="BE55" s="97" t="str">
        <f aca="false">IF(Tasks[[#This Row],[Task Name]]="","",Tasks[[#This Row],[Cost]])</f>
        <v/>
      </c>
      <c r="BF55" s="75"/>
      <c r="BG55" s="75"/>
      <c r="BH55" s="29"/>
      <c r="BI55" s="99"/>
      <c r="BJ55" s="98"/>
      <c r="BK55" s="28" t="str">
        <f aca="false">IF(OR(Tasks[[#This Row],[Task Name]]="",Tasks[[#This Row],[Baseline Duration]]=""),"",Tasks[[#This Row],[BL Source Duration]]-N(Tasks[[#This Row],[Baseline Duration]]))</f>
        <v/>
      </c>
      <c r="BL55" s="96" t="str">
        <f aca="false">IF(OR(Tasks[[#This Row],[Task Name]]="",Tasks[[#This Row],[Baseline Work]]=""),"",Tasks[[#This Row],[Work]]-N(Tasks[[#This Row],[Baseline Work]]))</f>
        <v/>
      </c>
      <c r="BM55" s="97" t="str">
        <f aca="false">IF(OR(Tasks[[#This Row],[Task Name]]="",Tasks[[#This Row],[Baseline Cost]]=""),"",Tasks[[#This Row],[Cost]]-N(Tasks[[#This Row],[Baseline Cost]]))</f>
        <v/>
      </c>
      <c r="BN55" s="97" t="str">
        <f aca="false">IF(Tasks[[#This Row],[Task Name]]="","",IF(Tasks[[#This Row],[_IsSummary]],SUM(INDEX(Tasks[_LeafBudget],Tasks[[#This Row],[_Row]]+1):INDEX(Tasks[_LeafBudget],Tasks[[#This Row],[_Row]]+Tasks[[#This Row],[_Descendants]])),Tasks[[#This Row],[_LeafBudget]]))</f>
        <v/>
      </c>
      <c r="BO55" s="97" t="str">
        <f aca="false">IF(Tasks[[#This Row],[Task Name]]="","",IF(Tasks[[#This Row],[_IsSummary]],SUM(INDEX(Tasks[_LeafPV],Tasks[[#This Row],[_Row]]+1):INDEX(Tasks[_LeafPV],Tasks[[#This Row],[_Row]]+Tasks[[#This Row],[_Descendants]])),Tasks[[#This Row],[_LeafPV]]))</f>
        <v/>
      </c>
      <c r="BP55" s="97" t="str">
        <f aca="false">IF(Tasks[[#This Row],[Task Name]]="","",IF(Tasks[[#This Row],[_IsSummary]],SUM(INDEX(Tasks[_LeafEV],Tasks[[#This Row],[_Row]]+1):INDEX(Tasks[_LeafEV],Tasks[[#This Row],[_Row]]+Tasks[[#This Row],[_Descendants]])),Tasks[[#This Row],[_LeafEV]]))</f>
        <v/>
      </c>
      <c r="BQ55" s="97" t="str">
        <f aca="false">IF(Tasks[[#This Row],[Task Name]]="","",IF(Tasks[[#This Row],[_IsSummary]],SUM(INDEX(Tasks[_LeafAC],Tasks[[#This Row],[_Row]]+1):INDEX(Tasks[_LeafAC],Tasks[[#This Row],[_Row]]+Tasks[[#This Row],[_Descendants]])),Tasks[[#This Row],[_LeafAC]]))</f>
        <v/>
      </c>
      <c r="BR55" s="41" t="str">
        <f aca="false">IF(Tasks[[#This Row],[Task Name]]="","",MAX(1,N(Tasks[[#This Row],[Level]])))</f>
        <v/>
      </c>
      <c r="BS55" s="41" t="n">
        <f aca="false">ROW()-ROW(Tasks[[#Headers],[ID]])</f>
        <v>50</v>
      </c>
      <c r="BT55" s="41" t="n">
        <f aca="false">IF(OR(Tasks[[#This Row],[Task Name]]="",Tasks[[#This Row],[_Level]]&lt;=1),0,IFERROR(LOOKUP(2,1/(Tasks[[#Headers],[_Level]]:Tasks[[#This Row],[_Level]]=Tasks[[#This Row],[_Level]]-1),ROW(Tasks[[#Headers],[_Level]]:Tasks[[#This Row],[_Level]])),0))</f>
        <v>0</v>
      </c>
      <c r="BU55" s="41" t="n">
        <f aca="false">IFERROR(N(INDEX(Tasks[_Level],Tasks[[#This Row],[_Row]]+1)),0)</f>
        <v>0</v>
      </c>
      <c r="BV55" s="100" t="b">
        <f aca="false">AND(Tasks[[#This Row],[Task Name]]&lt;&gt;"",Tasks[[#This Row],[_NextLevel]]&gt;Tasks[[#This Row],[_Level]])</f>
        <v>0</v>
      </c>
      <c r="BW55" s="41" t="n">
        <f aca="false">IF(Tasks[[#This Row],[_IsSummary]],COUNTIF(Tasks[WBS],Tasks[[#This Row],[WBS]]&amp;".*"),0)</f>
        <v>0</v>
      </c>
      <c r="BX55" s="41" t="n">
        <f aca="false">IF(AND(Tasks[[#This Row],[Task Name]]&lt;&gt;"",NOT(Tasks[[#This Row],[_IsSummary]])),1,0)</f>
        <v>0</v>
      </c>
      <c r="BY55" s="41" t="n">
        <f aca="false">IF(N(Tasks[[#This Row],[Pred1 UID]])=0,0,IFERROR(MATCH(Tasks[[#This Row],[Pred1 UID]],Tasks[UID],0),-1))</f>
        <v>0</v>
      </c>
      <c r="BZ55" s="41" t="n">
        <f aca="false">IF(N(Tasks[[#This Row],[Pred2 UID]])=0,0,IFERROR(MATCH(Tasks[[#This Row],[Pred2 UID]],Tasks[UID],0),-1))</f>
        <v>0</v>
      </c>
      <c r="CA55" s="41" t="n">
        <f aca="false">IF(N(Tasks[[#This Row],[Pred3 UID]])=0,0,IFERROR(MATCH(Tasks[[#This Row],[Pred3 UID]],Tasks[UID],0),-1))</f>
        <v>0</v>
      </c>
      <c r="CB55" s="41" t="n">
        <f aca="false">IF(N(Tasks[[#This Row],[Pred4 UID]])=0,0,IFERROR(MATCH(Tasks[[#This Row],[Pred4 UID]],Tasks[UID],0),-1))</f>
        <v>0</v>
      </c>
      <c r="CC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5" s="101" t="n">
        <f aca="false">IF(OR(Tasks[[#This Row],[_ConstraintCode]]=2,Tasks[[#This Row],[_ConstraintCode]]=3,Tasks[[#This Row],[_ConstraintCode]]=4,Tasks[[#This Row],[_ConstraintCode]]=6),Tasks[[#This Row],[_ConstraintStart]],0)</f>
        <v>0</v>
      </c>
      <c r="CF55" s="101" t="n">
        <f aca="false">IF(OR(Tasks[[#This Row],[_ConstraintCode]]=2,Tasks[[#This Row],[_ConstraintCode]]=3,Tasks[[#This Row],[_ConstraintCode]]=5,Tasks[[#This Row],[_ConstraintCode]]=7),Tasks[[#This Row],[_ConstraintStart]],2958465)</f>
        <v>2958465</v>
      </c>
      <c r="CG5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5" s="101" t="str">
        <f aca="false">IF(NOT(Tasks[[#This Row],[_IsLeaf]]=1),"",IF(N(Tasks[[#This Row],[Duration]])&lt;=0,Tasks[[#This Row],[_LeafCalcStart]],WORKDAY.INTL(Tasks[[#This Row],[_LeafCalcStart]],Tasks[[#This Row],[Duration]]-1,WorkWeek,Holidays)))</f>
        <v/>
      </c>
      <c r="CI5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5" s="41" t="n">
        <f aca="false">IF(NOT(Tasks[[#This Row],[_IsLeaf]]=1),0,IF(N(Tasks[[#This Row],[Actual Finish]])&gt;0,1,MIN(1,N(Tasks[[#This Row],[% Complete]]))))</f>
        <v>0</v>
      </c>
      <c r="CL55" s="41" t="n">
        <f aca="false">IF(OR(NOT(Tasks[[#This Row],[_IsLeaf]]=1),Tasks[[#This Row],[Resource]]=""),0,N(Tasks[[#This Row],[Duration]])*HoursPerDay*IF(Tasks[[#This Row],[Units]]="",DefaultUnits,Tasks[[#This Row],[Units]]))</f>
        <v>0</v>
      </c>
      <c r="CM55" s="41" t="n">
        <f aca="false">IF(Tasks[[#This Row],[_LeafWork]]=0,0,Tasks[[#This Row],[_LeafWork]]*IFERROR(INDEX(res_Rate,MATCH(Tasks[[#This Row],[Resource]],res_Name,0)),0))</f>
        <v>0</v>
      </c>
      <c r="CN55" s="41" t="n">
        <f aca="false">Tasks[[#This Row],[_LeafWork]]+IF(Tasks[[#This Row],[_IsLeaf]]=1,SUMIFS(asg_Work,asg_TaskUID,Tasks[[#This Row],[UID]],asg_Valid,1),0)</f>
        <v>0</v>
      </c>
      <c r="CO55" s="41" t="n">
        <f aca="false">Tasks[[#This Row],[_LeafCost]]+IF(Tasks[[#This Row],[_IsLeaf]]=1,SUMIFS(asg_Cost,asg_TaskUID,Tasks[[#This Row],[UID]],asg_Valid,1),0)</f>
        <v>0</v>
      </c>
      <c r="CP55" s="41" t="n">
        <f aca="false">IF(Tasks[[#This Row],[_LeafTotalCost]]=0,Tasks[[#This Row],[_LeafAC]],Tasks[[#This Row],[_LeafAC]]*Tasks[[#This Row],[_LeafCost]]/Tasks[[#This Row],[_LeafTotalCost]])</f>
        <v>0</v>
      </c>
      <c r="CQ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5" s="41" t="n">
        <f aca="false">IF(NOT(Tasks[[#This Row],[_IsLeaf]]=1),0,MAX(_xlfn.MAXIFS(Tasks[_Row],Tasks[Pred1 UID],Tasks[[#This Row],[UID]]),_xlfn.MAXIFS(Tasks[_Row],Tasks[Pred2 UID],Tasks[[#This Row],[UID]]),_xlfn.MAXIFS(Tasks[_Row],Tasks[Pred3 UID],Tasks[[#This Row],[UID]]),_xlfn.MAXIFS(Tasks[_Row],Tasks[Pred4 UID],Tasks[[#This Row],[UID]])))</f>
        <v>0</v>
      </c>
      <c r="CZ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5" s="101" t="str">
        <f aca="false">IF(NOT(Tasks[[#This Row],[_IsLeaf]]=1),"",IF(N(Tasks[[#This Row],[Duration]])&lt;=0,Tasks[[#This Row],[_LeafLateFinish]],WORKDAY.INTL(Tasks[[#This Row],[_LeafLateFinish]],-(Tasks[[#This Row],[Duration]]-1),WorkWeek,Holidays)))</f>
        <v/>
      </c>
      <c r="DC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5" s="100" t="b">
        <f aca="false">AND(Tasks[[#This Row],[_IsLeaf]]=1,Tasks[[#This Row],[_LeafProgress]]&lt;1,N(Tasks[[#This Row],[_LeafTotalSlack]])&lt;=CriticalSlackDays)</f>
        <v>0</v>
      </c>
      <c r="DE55" s="41" t="n">
        <f aca="false">IF(AND(Tasks[[#This Row],[_IsLeaf]]=1,Tasks[[#This Row],[_ConstraintCode]]=1,Tasks[[#This Row],[Mode]]&lt;&gt;"Manual",N(Tasks[[#This Row],[Actual Start]])=0),MAX(0,N(Tasks[[#This Row],[Free Slack]])),0)</f>
        <v>0</v>
      </c>
      <c r="DF55" s="101" t="str">
        <f aca="false">IF(NOT(Tasks[[#This Row],[_IsLeaf]]=1),"",IF(Tasks[[#This Row],[_AlapShift]]=0,Tasks[[#This Row],[_LeafCalcStart]],WORKDAY.INTL(Tasks[[#This Row],[_LeafCalcStart]],Tasks[[#This Row],[_AlapShift]],WorkWeek,Holidays)))</f>
        <v/>
      </c>
      <c r="DG55" s="101" t="str">
        <f aca="false">IF(NOT(Tasks[[#This Row],[_IsLeaf]]=1),"",IF(Tasks[[#This Row],[_AlapShift]]=0,Tasks[[#This Row],[_LeafCalcFinish]],WORKDAY.INTL(Tasks[[#This Row],[_LeafCalcFinish]],Tasks[[#This Row],[_AlapShift]],WorkWeek,Holidays)))</f>
        <v/>
      </c>
      <c r="DH55" s="101" t="str">
        <f aca="false">IF(NOT(Tasks[[#This Row],[_IsLeaf]]=1),"",IF(Tasks[[#This Row],[_AlapShift]]=0,Tasks[[#This Row],[_LeafFcstStart]],WORKDAY.INTL(Tasks[[#This Row],[_LeafFcstStart]],Tasks[[#This Row],[_AlapShift]],WorkWeek,Holidays)))</f>
        <v/>
      </c>
      <c r="DI55" s="101" t="str">
        <f aca="false">IF(NOT(Tasks[[#This Row],[_IsLeaf]]=1),"",IF(Tasks[[#This Row],[_AlapShift]]=0,Tasks[[#This Row],[_LeafFcstFinish]],WORKDAY.INTL(Tasks[[#This Row],[_LeafFcstFinish]],Tasks[[#This Row],[_AlapShift]],WorkWeek,Holidays)))</f>
        <v/>
      </c>
      <c r="DJ55" s="101" t="str">
        <f aca="false">IF(Tasks[[#This Row],[Task Name]]="","",IF(Tasks[[#This Row],[_IsSummary]],MIN(INDEX(Tasks[_ShownCalcStart],Tasks[[#This Row],[_Row]]+1):INDEX(Tasks[_ShownCalcStart],Tasks[[#This Row],[_Row]]+Tasks[[#This Row],[_Descendants]])),Tasks[[#This Row],[_ShownCalcStart]]))</f>
        <v/>
      </c>
      <c r="DK55" s="101" t="str">
        <f aca="false">IF(Tasks[[#This Row],[Task Name]]="","",IF(Tasks[[#This Row],[_IsSummary]],MAX(INDEX(Tasks[_ShownCalcFinish],Tasks[[#This Row],[_Row]]+1):INDEX(Tasks[_ShownCalcFinish],Tasks[[#This Row],[_Row]]+Tasks[[#This Row],[_Descendants]])),Tasks[[#This Row],[_ShownCalcFinish]]))</f>
        <v/>
      </c>
      <c r="D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5" s="41" t="n">
        <f aca="false">IF(AND(Tasks[[#This Row],[_IsLeaf]]=1,Tasks[[#This Row],[_LeafTotalWork]]&gt;0),NETWORKDAYS.INTL(ProjectStart,Tasks[[#This Row],[_ShownFcstStart]],WorkWeek,Holidays),0)</f>
        <v>0</v>
      </c>
      <c r="DY55" s="41" t="n">
        <f aca="false">IF(AND(Tasks[[#This Row],[_IsLeaf]]=1,Tasks[[#This Row],[_LeafTotalWork]]&gt;0),MAX(Tasks[[#This Row],[_StartWorkday]],NETWORKDAYS.INTL(ProjectStart,Tasks[[#This Row],[_ShownFcstFinish]],WorkWeek,Holidays)),0)</f>
        <v>0</v>
      </c>
      <c r="DZ55" s="41" t="n">
        <f aca="false">IF(AND(Tasks[[#This Row],[_IsLeaf]]=1,Tasks[[#This Row],[_LeafTotalWork]]&gt;0),Tasks[[#This Row],[_LeafWork]]/(Tasks[[#This Row],[_FinishWorkday]]-Tasks[[#This Row],[_StartWorkday]]+1),0)</f>
        <v>0</v>
      </c>
      <c r="EA55" s="41" t="n">
        <f aca="false">Tasks[[#This Row],[_WorkPerWorkday]]*(Tasks[[#This Row],[_StartWorkday]]-1)</f>
        <v>-0</v>
      </c>
      <c r="EB55" s="41" t="n">
        <f aca="false">IF(Tasks[[#This Row],[_IsLeaf]]=1,MAX(N(Tasks[[#This Row],[Duration]]),0.1),0)</f>
        <v>0</v>
      </c>
      <c r="EC55" s="41" t="n">
        <f aca="false">Tasks[[#This Row],[_WeightDur]]*Tasks[[#This Row],[_LeafProgress]]</f>
        <v>0</v>
      </c>
      <c r="ED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5" s="41" t="str">
        <f aca="false">IF(AND(Tasks[[#This Row],[_IsLeaf]]=1,N(Tasks[[#This Row],[Duration]])=0,Tasks[[#This Row],[_LeafProgress]]&lt;1),Tasks[[#This Row],[_ShownFcstFinish]]+Tasks[[#This Row],[_Row]]/100000,"")</f>
        <v/>
      </c>
      <c r="EF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5" s="41" t="n">
        <f aca="false">IF(NOT(Tasks[[#This Row],[_IsLeaf]]=1),0,IF(Tasks[[#This Row],[Baseline Cost]]="",Tasks[[#This Row],[_LeafTotalCost]],N(Tasks[[#This Row],[Baseline Cost]])))</f>
        <v>0</v>
      </c>
      <c r="EH55" s="41" t="n">
        <f aca="false">Tasks[[#This Row],[_LeafBudget]]*Tasks[[#This Row],[_PlannedPct]]</f>
        <v>0</v>
      </c>
      <c r="EI55" s="41" t="n">
        <f aca="false">Tasks[[#This Row],[_LeafBudget]]*Tasks[[#This Row],[_LeafProgress]]</f>
        <v>0</v>
      </c>
      <c r="EJ55" s="41" t="n">
        <f aca="false">IF(NOT(Tasks[[#This Row],[_IsLeaf]]=1),0,IF(Tasks[[#This Row],[Actual Cost]]="",Tasks[[#This Row],[_LeafTotalCost]]*Tasks[[#This Row],[_LeafProgress]],N(Tasks[[#This Row],[Actual Cost]])))</f>
        <v>0</v>
      </c>
      <c r="EK55" s="41" t="str">
        <f aca="false">IF(Tasks[[#This Row],[Task Name]]="","",LEFT(Tasks[[#This Row],[WBS]],FIND(".",Tasks[[#This Row],[WBS]]&amp;".")-1))</f>
        <v/>
      </c>
      <c r="EL55" s="41" t="str">
        <f aca="false">IF(AND(Tasks[[#This Row],[Task Name]]&lt;&gt;"",Tasks[[#This Row],[_Level]]=1),Tasks[[#This Row],[_Row]],"")</f>
        <v/>
      </c>
      <c r="EM55" s="41" t="str">
        <f aca="false">IF(AND(Tasks[[#This Row],[_IsLeaf]]=1,N(Tasks[[#This Row],[Duration]])=0),Tasks[[#This Row],[Planned Finish]]+Tasks[[#This Row],[_Row]]/100000,"")</f>
        <v/>
      </c>
      <c r="EN55" s="41" t="str">
        <f aca="false">IF(AND(Tasks[[#This Row],[_IsLeaf]]=1,Tasks[[#This Row],[_LeafProgress]]&lt;1,OR(N(Tasks[[#This Row],[Finish Var]])&gt;0,Tasks[[#This Row],[Status]]="Late Start")),MAX(0,Tasks[[#This Row],[Finish Var]])+1-Tasks[[#This Row],[_Row]]/1000000,"")</f>
        <v/>
      </c>
      <c r="EO55" s="41" t="str">
        <f aca="false">IF(AND(Tasks[[#This Row],[_IsLeaf]]=1,N(Tasks[[#This Row],[Actual Start]])=0,Tasks[[#This Row],[_ShownFcstStart]]&gt;=StatusDate,Tasks[[#This Row],[_ShownFcstStart]]&lt;=LookaheadEnd),Tasks[[#This Row],[_ShownFcstStart]]+Tasks[[#This Row],[_Row]]/100000,"")</f>
        <v/>
      </c>
      <c r="EP55" s="41" t="str">
        <f aca="false">IF(AND(Tasks[[#This Row],[_IsLeaf]]=1,Tasks[[#This Row],[_LeafProgress]]&lt;1,Tasks[[#This Row],[_ShownFcstFinish]]&gt;=StatusDate,Tasks[[#This Row],[_ShownFcstFinish]]&lt;=LookaheadEnd),Tasks[[#This Row],[_ShownFcstFinish]]+Tasks[[#This Row],[_Row]]/100000,"")</f>
        <v/>
      </c>
      <c r="EQ55" s="41" t="str">
        <f aca="false">IF(Tasks[[#This Row],[_LeafCritical]],Tasks[[#This Row],[_ShownFcstStart]]+Tasks[[#This Row],[_Row]]/100000,"")</f>
        <v/>
      </c>
      <c r="ER55" s="41" t="n">
        <f aca="false">Tasks[[#This Row],[_LeafWork]]*Tasks[[#This Row],[_LeafProgress]]</f>
        <v>0</v>
      </c>
      <c r="ES55" s="101" t="str">
        <f aca="false">IF(AND(Tasks[[#This Row],[_IsLeaf]]=1,Tasks[[#This Row],[_LeafProgress]]&gt;=1),IF(N(Tasks[[#This Row],[Actual Finish]])&gt;0,Tasks[[#This Row],[Actual Finish]],Tasks[[#This Row],[_ShownFcstFinish]]),"")</f>
        <v/>
      </c>
      <c r="ET55" s="41" t="n">
        <f aca="false">IF(Tasks[[#This Row],[_IsLeaf]]=1,N(Tasks[[#This Row],[Story Points]]),0)</f>
        <v>0</v>
      </c>
      <c r="EU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29"/>
      <c r="O56" s="29"/>
      <c r="P56" s="29"/>
      <c r="Q56" s="29"/>
      <c r="R56" s="29"/>
      <c r="S56" s="29"/>
      <c r="T56" s="30"/>
      <c r="U56" s="75"/>
      <c r="V56" s="75"/>
      <c r="W56" s="25" t="str">
        <f aca="false">IF(Tasks[[#This Row],[Task Name]]="","",IF(N(Tasks[[#This Row],[Baseline Start]])&gt;0,Tasks[[#This Row],[Baseline Start]],Tasks[[#This Row],[_CalcStart]]))</f>
        <v/>
      </c>
      <c r="X56" s="25" t="str">
        <f aca="false">IF(Tasks[[#This Row],[Task Name]]="","",IF(N(Tasks[[#This Row],[Baseline Finish]])&gt;0,Tasks[[#This Row],[Baseline Finish]],Tasks[[#This Row],[_CalcFinish]]))</f>
        <v/>
      </c>
      <c r="Y56" s="75"/>
      <c r="Z56" s="75"/>
      <c r="AA56" s="25" t="str">
        <f aca="false">IF(Tasks[[#This Row],[Task Name]]="","",IF(Tasks[[#This Row],[_IsSummary]],MIN(INDEX(Tasks[_ShownFcstStart],Tasks[[#This Row],[_Row]]+1):INDEX(Tasks[_ShownFcstStart],Tasks[[#This Row],[_Row]]+Tasks[[#This Row],[_Descendants]])),Tasks[[#This Row],[_ShownFcstStart]]))</f>
        <v/>
      </c>
      <c r="AB56" s="25" t="str">
        <f aca="false">IF(Tasks[[#This Row],[Task Name]]="","",IF(Tasks[[#This Row],[_IsSummary]],MAX(INDEX(Tasks[_ShownFcstFinish],Tasks[[#This Row],[_Row]]+1):INDEX(Tasks[_ShownFcstFinish],Tasks[[#This Row],[_Row]]+Tasks[[#This Row],[_Descendants]])),Tasks[[#This Row],[_ShownFcstFinish]]))</f>
        <v/>
      </c>
      <c r="AC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6" s="25" t="str">
        <f aca="false">IF(Tasks[[#This Row],[Task Name]]="","",IF(Tasks[[#This Row],[_IsSummary]],MIN(INDEX(Tasks[_LeafLateStart],Tasks[[#This Row],[_Row]]+1):INDEX(Tasks[_LeafLateStart],Tasks[[#This Row],[_Row]]+Tasks[[#This Row],[_Descendants]])),Tasks[[#This Row],[_LeafLateStart]]))</f>
        <v/>
      </c>
      <c r="AF56" s="25" t="str">
        <f aca="false">IF(Tasks[[#This Row],[Task Name]]="","",IF(Tasks[[#This Row],[_IsSummary]],MAX(INDEX(Tasks[_LeafLateFinish],Tasks[[#This Row],[_Row]]+1):INDEX(Tasks[_LeafLateFinish],Tasks[[#This Row],[_Row]]+Tasks[[#This Row],[_Descendants]])),Tasks[[#This Row],[_LeafLateFinish]]))</f>
        <v/>
      </c>
      <c r="AG56" s="28" t="str">
        <f aca="false">IF(Tasks[[#This Row],[Task Name]]="","",IF(Tasks[[#This Row],[_IsSummary]],MIN(INDEX(Tasks[_LeafTotalSlack],Tasks[[#This Row],[_Row]]+1):INDEX(Tasks[_LeafTotalSlack],Tasks[[#This Row],[_Row]]+Tasks[[#This Row],[_Descendants]])),Tasks[[#This Row],[_LeafTotalSlack]]))</f>
        <v/>
      </c>
      <c r="AH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6" s="28" t="str">
        <f aca="false">IF(Tasks[[#This Row],[Task Name]]="","",IF(IF(Tasks[[#This Row],[_IsSummary]],COUNTIF(INDEX(Tasks[_LeafCritical],Tasks[[#This Row],[_Row]]+1):INDEX(Tasks[_LeafCritical],Tasks[[#This Row],[_Row]]+Tasks[[#This Row],[_Descendants]]),TRUE())&gt;0,Tasks[[#This Row],[_LeafCritical]]),"Yes",""))</f>
        <v/>
      </c>
      <c r="AJ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6" s="89"/>
      <c r="AM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6" s="28" t="str">
        <f aca="false">IF(Tasks[[#This Row],[Task Name]]="","",IF(Tasks[[#This Row],[Progress]]&gt;=1,"Complete",IF(OR(N(Tasks[[#This Row],[Actual Start]])&gt;0,Tasks[[#This Row],[Progress]]&gt;0),IF(Tasks[[#This Row],[Finish Var]]&gt;0,"Behind","In Progress"),IF(Tasks[[#This Row],[Planned Start]]&lt;StatusDate,"Late Start","Not Started"))))</f>
        <v/>
      </c>
      <c r="AO56" s="30"/>
      <c r="AP56" s="89"/>
      <c r="AQ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6" s="96" t="str">
        <f aca="false">IF(Tasks[[#This Row],[Task Name]]="","",IF(Tasks[[#This Row],[_IsSummary]],SUM(INDEX(Tasks[_LeafTotalWork],Tasks[[#This Row],[_Row]]+1):INDEX(Tasks[_LeafTotalWork],Tasks[[#This Row],[_Row]]+Tasks[[#This Row],[_Descendants]])),Tasks[[#This Row],[_LeafTotalWork]]))</f>
        <v/>
      </c>
      <c r="AT56" s="97" t="str">
        <f aca="false">IF(Tasks[[#This Row],[Task Name]]="","",IF(Tasks[[#This Row],[_IsSummary]],SUM(INDEX(Tasks[_LeafTotalCost],Tasks[[#This Row],[_Row]]+1):INDEX(Tasks[_LeafTotalCost],Tasks[[#This Row],[_Row]]+Tasks[[#This Row],[_Descendants]])),Tasks[[#This Row],[_LeafTotalCost]]))</f>
        <v/>
      </c>
      <c r="AU56" s="98"/>
      <c r="AV56" s="29"/>
      <c r="AW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6" s="83"/>
      <c r="AY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6" s="30"/>
      <c r="BA56" s="25" t="str">
        <f aca="false">IF(Tasks[[#This Row],[Task Name]]="","",Tasks[[#This Row],[Forecast Start]])</f>
        <v/>
      </c>
      <c r="BB56" s="25" t="str">
        <f aca="false">IF(Tasks[[#This Row],[Task Name]]="","",Tasks[[#This Row],[Forecast Finish]])</f>
        <v/>
      </c>
      <c r="BC56" s="28" t="str">
        <f aca="false">IF(Tasks[[#This Row],[Task Name]]="","",IF(Tasks[[#This Row],[_IsSummary]],NETWORKDAYS.INTL(Tasks[[#This Row],[Forecast Start]],Tasks[[#This Row],[Forecast Finish]],WorkWeek,Holidays),N(Tasks[[#This Row],[Duration]])))</f>
        <v/>
      </c>
      <c r="BD56" s="96" t="str">
        <f aca="false">IF(Tasks[[#This Row],[Task Name]]="","",Tasks[[#This Row],[Work]])</f>
        <v/>
      </c>
      <c r="BE56" s="97" t="str">
        <f aca="false">IF(Tasks[[#This Row],[Task Name]]="","",Tasks[[#This Row],[Cost]])</f>
        <v/>
      </c>
      <c r="BF56" s="75"/>
      <c r="BG56" s="75"/>
      <c r="BH56" s="29"/>
      <c r="BI56" s="99"/>
      <c r="BJ56" s="98"/>
      <c r="BK56" s="28" t="str">
        <f aca="false">IF(OR(Tasks[[#This Row],[Task Name]]="",Tasks[[#This Row],[Baseline Duration]]=""),"",Tasks[[#This Row],[BL Source Duration]]-N(Tasks[[#This Row],[Baseline Duration]]))</f>
        <v/>
      </c>
      <c r="BL56" s="96" t="str">
        <f aca="false">IF(OR(Tasks[[#This Row],[Task Name]]="",Tasks[[#This Row],[Baseline Work]]=""),"",Tasks[[#This Row],[Work]]-N(Tasks[[#This Row],[Baseline Work]]))</f>
        <v/>
      </c>
      <c r="BM56" s="97" t="str">
        <f aca="false">IF(OR(Tasks[[#This Row],[Task Name]]="",Tasks[[#This Row],[Baseline Cost]]=""),"",Tasks[[#This Row],[Cost]]-N(Tasks[[#This Row],[Baseline Cost]]))</f>
        <v/>
      </c>
      <c r="BN56" s="97" t="str">
        <f aca="false">IF(Tasks[[#This Row],[Task Name]]="","",IF(Tasks[[#This Row],[_IsSummary]],SUM(INDEX(Tasks[_LeafBudget],Tasks[[#This Row],[_Row]]+1):INDEX(Tasks[_LeafBudget],Tasks[[#This Row],[_Row]]+Tasks[[#This Row],[_Descendants]])),Tasks[[#This Row],[_LeafBudget]]))</f>
        <v/>
      </c>
      <c r="BO56" s="97" t="str">
        <f aca="false">IF(Tasks[[#This Row],[Task Name]]="","",IF(Tasks[[#This Row],[_IsSummary]],SUM(INDEX(Tasks[_LeafPV],Tasks[[#This Row],[_Row]]+1):INDEX(Tasks[_LeafPV],Tasks[[#This Row],[_Row]]+Tasks[[#This Row],[_Descendants]])),Tasks[[#This Row],[_LeafPV]]))</f>
        <v/>
      </c>
      <c r="BP56" s="97" t="str">
        <f aca="false">IF(Tasks[[#This Row],[Task Name]]="","",IF(Tasks[[#This Row],[_IsSummary]],SUM(INDEX(Tasks[_LeafEV],Tasks[[#This Row],[_Row]]+1):INDEX(Tasks[_LeafEV],Tasks[[#This Row],[_Row]]+Tasks[[#This Row],[_Descendants]])),Tasks[[#This Row],[_LeafEV]]))</f>
        <v/>
      </c>
      <c r="BQ56" s="97" t="str">
        <f aca="false">IF(Tasks[[#This Row],[Task Name]]="","",IF(Tasks[[#This Row],[_IsSummary]],SUM(INDEX(Tasks[_LeafAC],Tasks[[#This Row],[_Row]]+1):INDEX(Tasks[_LeafAC],Tasks[[#This Row],[_Row]]+Tasks[[#This Row],[_Descendants]])),Tasks[[#This Row],[_LeafAC]]))</f>
        <v/>
      </c>
      <c r="BR56" s="41" t="str">
        <f aca="false">IF(Tasks[[#This Row],[Task Name]]="","",MAX(1,N(Tasks[[#This Row],[Level]])))</f>
        <v/>
      </c>
      <c r="BS56" s="41" t="n">
        <f aca="false">ROW()-ROW(Tasks[[#Headers],[ID]])</f>
        <v>51</v>
      </c>
      <c r="BT56" s="41" t="n">
        <f aca="false">IF(OR(Tasks[[#This Row],[Task Name]]="",Tasks[[#This Row],[_Level]]&lt;=1),0,IFERROR(LOOKUP(2,1/(Tasks[[#Headers],[_Level]]:Tasks[[#This Row],[_Level]]=Tasks[[#This Row],[_Level]]-1),ROW(Tasks[[#Headers],[_Level]]:Tasks[[#This Row],[_Level]])),0))</f>
        <v>0</v>
      </c>
      <c r="BU56" s="41" t="n">
        <f aca="false">IFERROR(N(INDEX(Tasks[_Level],Tasks[[#This Row],[_Row]]+1)),0)</f>
        <v>0</v>
      </c>
      <c r="BV56" s="100" t="b">
        <f aca="false">AND(Tasks[[#This Row],[Task Name]]&lt;&gt;"",Tasks[[#This Row],[_NextLevel]]&gt;Tasks[[#This Row],[_Level]])</f>
        <v>0</v>
      </c>
      <c r="BW56" s="41" t="n">
        <f aca="false">IF(Tasks[[#This Row],[_IsSummary]],COUNTIF(Tasks[WBS],Tasks[[#This Row],[WBS]]&amp;".*"),0)</f>
        <v>0</v>
      </c>
      <c r="BX56" s="41" t="n">
        <f aca="false">IF(AND(Tasks[[#This Row],[Task Name]]&lt;&gt;"",NOT(Tasks[[#This Row],[_IsSummary]])),1,0)</f>
        <v>0</v>
      </c>
      <c r="BY56" s="41" t="n">
        <f aca="false">IF(N(Tasks[[#This Row],[Pred1 UID]])=0,0,IFERROR(MATCH(Tasks[[#This Row],[Pred1 UID]],Tasks[UID],0),-1))</f>
        <v>0</v>
      </c>
      <c r="BZ56" s="41" t="n">
        <f aca="false">IF(N(Tasks[[#This Row],[Pred2 UID]])=0,0,IFERROR(MATCH(Tasks[[#This Row],[Pred2 UID]],Tasks[UID],0),-1))</f>
        <v>0</v>
      </c>
      <c r="CA56" s="41" t="n">
        <f aca="false">IF(N(Tasks[[#This Row],[Pred3 UID]])=0,0,IFERROR(MATCH(Tasks[[#This Row],[Pred3 UID]],Tasks[UID],0),-1))</f>
        <v>0</v>
      </c>
      <c r="CB56" s="41" t="n">
        <f aca="false">IF(N(Tasks[[#This Row],[Pred4 UID]])=0,0,IFERROR(MATCH(Tasks[[#This Row],[Pred4 UID]],Tasks[UID],0),-1))</f>
        <v>0</v>
      </c>
      <c r="CC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6" s="101" t="n">
        <f aca="false">IF(OR(Tasks[[#This Row],[_ConstraintCode]]=2,Tasks[[#This Row],[_ConstraintCode]]=3,Tasks[[#This Row],[_ConstraintCode]]=4,Tasks[[#This Row],[_ConstraintCode]]=6),Tasks[[#This Row],[_ConstraintStart]],0)</f>
        <v>0</v>
      </c>
      <c r="CF56" s="101" t="n">
        <f aca="false">IF(OR(Tasks[[#This Row],[_ConstraintCode]]=2,Tasks[[#This Row],[_ConstraintCode]]=3,Tasks[[#This Row],[_ConstraintCode]]=5,Tasks[[#This Row],[_ConstraintCode]]=7),Tasks[[#This Row],[_ConstraintStart]],2958465)</f>
        <v>2958465</v>
      </c>
      <c r="CG5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6" s="101" t="str">
        <f aca="false">IF(NOT(Tasks[[#This Row],[_IsLeaf]]=1),"",IF(N(Tasks[[#This Row],[Duration]])&lt;=0,Tasks[[#This Row],[_LeafCalcStart]],WORKDAY.INTL(Tasks[[#This Row],[_LeafCalcStart]],Tasks[[#This Row],[Duration]]-1,WorkWeek,Holidays)))</f>
        <v/>
      </c>
      <c r="CI5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6" s="41" t="n">
        <f aca="false">IF(NOT(Tasks[[#This Row],[_IsLeaf]]=1),0,IF(N(Tasks[[#This Row],[Actual Finish]])&gt;0,1,MIN(1,N(Tasks[[#This Row],[% Complete]]))))</f>
        <v>0</v>
      </c>
      <c r="CL56" s="41" t="n">
        <f aca="false">IF(OR(NOT(Tasks[[#This Row],[_IsLeaf]]=1),Tasks[[#This Row],[Resource]]=""),0,N(Tasks[[#This Row],[Duration]])*HoursPerDay*IF(Tasks[[#This Row],[Units]]="",DefaultUnits,Tasks[[#This Row],[Units]]))</f>
        <v>0</v>
      </c>
      <c r="CM56" s="41" t="n">
        <f aca="false">IF(Tasks[[#This Row],[_LeafWork]]=0,0,Tasks[[#This Row],[_LeafWork]]*IFERROR(INDEX(res_Rate,MATCH(Tasks[[#This Row],[Resource]],res_Name,0)),0))</f>
        <v>0</v>
      </c>
      <c r="CN56" s="41" t="n">
        <f aca="false">Tasks[[#This Row],[_LeafWork]]+IF(Tasks[[#This Row],[_IsLeaf]]=1,SUMIFS(asg_Work,asg_TaskUID,Tasks[[#This Row],[UID]],asg_Valid,1),0)</f>
        <v>0</v>
      </c>
      <c r="CO56" s="41" t="n">
        <f aca="false">Tasks[[#This Row],[_LeafCost]]+IF(Tasks[[#This Row],[_IsLeaf]]=1,SUMIFS(asg_Cost,asg_TaskUID,Tasks[[#This Row],[UID]],asg_Valid,1),0)</f>
        <v>0</v>
      </c>
      <c r="CP56" s="41" t="n">
        <f aca="false">IF(Tasks[[#This Row],[_LeafTotalCost]]=0,Tasks[[#This Row],[_LeafAC]],Tasks[[#This Row],[_LeafAC]]*Tasks[[#This Row],[_LeafCost]]/Tasks[[#This Row],[_LeafTotalCost]])</f>
        <v>0</v>
      </c>
      <c r="CQ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6" s="41" t="n">
        <f aca="false">IF(NOT(Tasks[[#This Row],[_IsLeaf]]=1),0,MAX(_xlfn.MAXIFS(Tasks[_Row],Tasks[Pred1 UID],Tasks[[#This Row],[UID]]),_xlfn.MAXIFS(Tasks[_Row],Tasks[Pred2 UID],Tasks[[#This Row],[UID]]),_xlfn.MAXIFS(Tasks[_Row],Tasks[Pred3 UID],Tasks[[#This Row],[UID]]),_xlfn.MAXIFS(Tasks[_Row],Tasks[Pred4 UID],Tasks[[#This Row],[UID]])))</f>
        <v>0</v>
      </c>
      <c r="CZ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6" s="101" t="str">
        <f aca="false">IF(NOT(Tasks[[#This Row],[_IsLeaf]]=1),"",IF(N(Tasks[[#This Row],[Duration]])&lt;=0,Tasks[[#This Row],[_LeafLateFinish]],WORKDAY.INTL(Tasks[[#This Row],[_LeafLateFinish]],-(Tasks[[#This Row],[Duration]]-1),WorkWeek,Holidays)))</f>
        <v/>
      </c>
      <c r="DC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6" s="100" t="b">
        <f aca="false">AND(Tasks[[#This Row],[_IsLeaf]]=1,Tasks[[#This Row],[_LeafProgress]]&lt;1,N(Tasks[[#This Row],[_LeafTotalSlack]])&lt;=CriticalSlackDays)</f>
        <v>0</v>
      </c>
      <c r="DE56" s="41" t="n">
        <f aca="false">IF(AND(Tasks[[#This Row],[_IsLeaf]]=1,Tasks[[#This Row],[_ConstraintCode]]=1,Tasks[[#This Row],[Mode]]&lt;&gt;"Manual",N(Tasks[[#This Row],[Actual Start]])=0),MAX(0,N(Tasks[[#This Row],[Free Slack]])),0)</f>
        <v>0</v>
      </c>
      <c r="DF56" s="101" t="str">
        <f aca="false">IF(NOT(Tasks[[#This Row],[_IsLeaf]]=1),"",IF(Tasks[[#This Row],[_AlapShift]]=0,Tasks[[#This Row],[_LeafCalcStart]],WORKDAY.INTL(Tasks[[#This Row],[_LeafCalcStart]],Tasks[[#This Row],[_AlapShift]],WorkWeek,Holidays)))</f>
        <v/>
      </c>
      <c r="DG56" s="101" t="str">
        <f aca="false">IF(NOT(Tasks[[#This Row],[_IsLeaf]]=1),"",IF(Tasks[[#This Row],[_AlapShift]]=0,Tasks[[#This Row],[_LeafCalcFinish]],WORKDAY.INTL(Tasks[[#This Row],[_LeafCalcFinish]],Tasks[[#This Row],[_AlapShift]],WorkWeek,Holidays)))</f>
        <v/>
      </c>
      <c r="DH56" s="101" t="str">
        <f aca="false">IF(NOT(Tasks[[#This Row],[_IsLeaf]]=1),"",IF(Tasks[[#This Row],[_AlapShift]]=0,Tasks[[#This Row],[_LeafFcstStart]],WORKDAY.INTL(Tasks[[#This Row],[_LeafFcstStart]],Tasks[[#This Row],[_AlapShift]],WorkWeek,Holidays)))</f>
        <v/>
      </c>
      <c r="DI56" s="101" t="str">
        <f aca="false">IF(NOT(Tasks[[#This Row],[_IsLeaf]]=1),"",IF(Tasks[[#This Row],[_AlapShift]]=0,Tasks[[#This Row],[_LeafFcstFinish]],WORKDAY.INTL(Tasks[[#This Row],[_LeafFcstFinish]],Tasks[[#This Row],[_AlapShift]],WorkWeek,Holidays)))</f>
        <v/>
      </c>
      <c r="DJ56" s="101" t="str">
        <f aca="false">IF(Tasks[[#This Row],[Task Name]]="","",IF(Tasks[[#This Row],[_IsSummary]],MIN(INDEX(Tasks[_ShownCalcStart],Tasks[[#This Row],[_Row]]+1):INDEX(Tasks[_ShownCalcStart],Tasks[[#This Row],[_Row]]+Tasks[[#This Row],[_Descendants]])),Tasks[[#This Row],[_ShownCalcStart]]))</f>
        <v/>
      </c>
      <c r="DK56" s="101" t="str">
        <f aca="false">IF(Tasks[[#This Row],[Task Name]]="","",IF(Tasks[[#This Row],[_IsSummary]],MAX(INDEX(Tasks[_ShownCalcFinish],Tasks[[#This Row],[_Row]]+1):INDEX(Tasks[_ShownCalcFinish],Tasks[[#This Row],[_Row]]+Tasks[[#This Row],[_Descendants]])),Tasks[[#This Row],[_ShownCalcFinish]]))</f>
        <v/>
      </c>
      <c r="D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6" s="41" t="n">
        <f aca="false">IF(AND(Tasks[[#This Row],[_IsLeaf]]=1,Tasks[[#This Row],[_LeafTotalWork]]&gt;0),NETWORKDAYS.INTL(ProjectStart,Tasks[[#This Row],[_ShownFcstStart]],WorkWeek,Holidays),0)</f>
        <v>0</v>
      </c>
      <c r="DY56" s="41" t="n">
        <f aca="false">IF(AND(Tasks[[#This Row],[_IsLeaf]]=1,Tasks[[#This Row],[_LeafTotalWork]]&gt;0),MAX(Tasks[[#This Row],[_StartWorkday]],NETWORKDAYS.INTL(ProjectStart,Tasks[[#This Row],[_ShownFcstFinish]],WorkWeek,Holidays)),0)</f>
        <v>0</v>
      </c>
      <c r="DZ56" s="41" t="n">
        <f aca="false">IF(AND(Tasks[[#This Row],[_IsLeaf]]=1,Tasks[[#This Row],[_LeafTotalWork]]&gt;0),Tasks[[#This Row],[_LeafWork]]/(Tasks[[#This Row],[_FinishWorkday]]-Tasks[[#This Row],[_StartWorkday]]+1),0)</f>
        <v>0</v>
      </c>
      <c r="EA56" s="41" t="n">
        <f aca="false">Tasks[[#This Row],[_WorkPerWorkday]]*(Tasks[[#This Row],[_StartWorkday]]-1)</f>
        <v>-0</v>
      </c>
      <c r="EB56" s="41" t="n">
        <f aca="false">IF(Tasks[[#This Row],[_IsLeaf]]=1,MAX(N(Tasks[[#This Row],[Duration]]),0.1),0)</f>
        <v>0</v>
      </c>
      <c r="EC56" s="41" t="n">
        <f aca="false">Tasks[[#This Row],[_WeightDur]]*Tasks[[#This Row],[_LeafProgress]]</f>
        <v>0</v>
      </c>
      <c r="ED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6" s="41" t="str">
        <f aca="false">IF(AND(Tasks[[#This Row],[_IsLeaf]]=1,N(Tasks[[#This Row],[Duration]])=0,Tasks[[#This Row],[_LeafProgress]]&lt;1),Tasks[[#This Row],[_ShownFcstFinish]]+Tasks[[#This Row],[_Row]]/100000,"")</f>
        <v/>
      </c>
      <c r="EF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6" s="41" t="n">
        <f aca="false">IF(NOT(Tasks[[#This Row],[_IsLeaf]]=1),0,IF(Tasks[[#This Row],[Baseline Cost]]="",Tasks[[#This Row],[_LeafTotalCost]],N(Tasks[[#This Row],[Baseline Cost]])))</f>
        <v>0</v>
      </c>
      <c r="EH56" s="41" t="n">
        <f aca="false">Tasks[[#This Row],[_LeafBudget]]*Tasks[[#This Row],[_PlannedPct]]</f>
        <v>0</v>
      </c>
      <c r="EI56" s="41" t="n">
        <f aca="false">Tasks[[#This Row],[_LeafBudget]]*Tasks[[#This Row],[_LeafProgress]]</f>
        <v>0</v>
      </c>
      <c r="EJ56" s="41" t="n">
        <f aca="false">IF(NOT(Tasks[[#This Row],[_IsLeaf]]=1),0,IF(Tasks[[#This Row],[Actual Cost]]="",Tasks[[#This Row],[_LeafTotalCost]]*Tasks[[#This Row],[_LeafProgress]],N(Tasks[[#This Row],[Actual Cost]])))</f>
        <v>0</v>
      </c>
      <c r="EK56" s="41" t="str">
        <f aca="false">IF(Tasks[[#This Row],[Task Name]]="","",LEFT(Tasks[[#This Row],[WBS]],FIND(".",Tasks[[#This Row],[WBS]]&amp;".")-1))</f>
        <v/>
      </c>
      <c r="EL56" s="41" t="str">
        <f aca="false">IF(AND(Tasks[[#This Row],[Task Name]]&lt;&gt;"",Tasks[[#This Row],[_Level]]=1),Tasks[[#This Row],[_Row]],"")</f>
        <v/>
      </c>
      <c r="EM56" s="41" t="str">
        <f aca="false">IF(AND(Tasks[[#This Row],[_IsLeaf]]=1,N(Tasks[[#This Row],[Duration]])=0),Tasks[[#This Row],[Planned Finish]]+Tasks[[#This Row],[_Row]]/100000,"")</f>
        <v/>
      </c>
      <c r="EN56" s="41" t="str">
        <f aca="false">IF(AND(Tasks[[#This Row],[_IsLeaf]]=1,Tasks[[#This Row],[_LeafProgress]]&lt;1,OR(N(Tasks[[#This Row],[Finish Var]])&gt;0,Tasks[[#This Row],[Status]]="Late Start")),MAX(0,Tasks[[#This Row],[Finish Var]])+1-Tasks[[#This Row],[_Row]]/1000000,"")</f>
        <v/>
      </c>
      <c r="EO56" s="41" t="str">
        <f aca="false">IF(AND(Tasks[[#This Row],[_IsLeaf]]=1,N(Tasks[[#This Row],[Actual Start]])=0,Tasks[[#This Row],[_ShownFcstStart]]&gt;=StatusDate,Tasks[[#This Row],[_ShownFcstStart]]&lt;=LookaheadEnd),Tasks[[#This Row],[_ShownFcstStart]]+Tasks[[#This Row],[_Row]]/100000,"")</f>
        <v/>
      </c>
      <c r="EP56" s="41" t="str">
        <f aca="false">IF(AND(Tasks[[#This Row],[_IsLeaf]]=1,Tasks[[#This Row],[_LeafProgress]]&lt;1,Tasks[[#This Row],[_ShownFcstFinish]]&gt;=StatusDate,Tasks[[#This Row],[_ShownFcstFinish]]&lt;=LookaheadEnd),Tasks[[#This Row],[_ShownFcstFinish]]+Tasks[[#This Row],[_Row]]/100000,"")</f>
        <v/>
      </c>
      <c r="EQ56" s="41" t="str">
        <f aca="false">IF(Tasks[[#This Row],[_LeafCritical]],Tasks[[#This Row],[_ShownFcstStart]]+Tasks[[#This Row],[_Row]]/100000,"")</f>
        <v/>
      </c>
      <c r="ER56" s="41" t="n">
        <f aca="false">Tasks[[#This Row],[_LeafWork]]*Tasks[[#This Row],[_LeafProgress]]</f>
        <v>0</v>
      </c>
      <c r="ES56" s="101" t="str">
        <f aca="false">IF(AND(Tasks[[#This Row],[_IsLeaf]]=1,Tasks[[#This Row],[_LeafProgress]]&gt;=1),IF(N(Tasks[[#This Row],[Actual Finish]])&gt;0,Tasks[[#This Row],[Actual Finish]],Tasks[[#This Row],[_ShownFcstFinish]]),"")</f>
        <v/>
      </c>
      <c r="ET56" s="41" t="n">
        <f aca="false">IF(Tasks[[#This Row],[_IsLeaf]]=1,N(Tasks[[#This Row],[Story Points]]),0)</f>
        <v>0</v>
      </c>
      <c r="EU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29"/>
      <c r="O57" s="29"/>
      <c r="P57" s="29"/>
      <c r="Q57" s="29"/>
      <c r="R57" s="29"/>
      <c r="S57" s="29"/>
      <c r="T57" s="30"/>
      <c r="U57" s="75"/>
      <c r="V57" s="75"/>
      <c r="W57" s="25" t="str">
        <f aca="false">IF(Tasks[[#This Row],[Task Name]]="","",IF(N(Tasks[[#This Row],[Baseline Start]])&gt;0,Tasks[[#This Row],[Baseline Start]],Tasks[[#This Row],[_CalcStart]]))</f>
        <v/>
      </c>
      <c r="X57" s="25" t="str">
        <f aca="false">IF(Tasks[[#This Row],[Task Name]]="","",IF(N(Tasks[[#This Row],[Baseline Finish]])&gt;0,Tasks[[#This Row],[Baseline Finish]],Tasks[[#This Row],[_CalcFinish]]))</f>
        <v/>
      </c>
      <c r="Y57" s="75"/>
      <c r="Z57" s="75"/>
      <c r="AA57" s="25" t="str">
        <f aca="false">IF(Tasks[[#This Row],[Task Name]]="","",IF(Tasks[[#This Row],[_IsSummary]],MIN(INDEX(Tasks[_ShownFcstStart],Tasks[[#This Row],[_Row]]+1):INDEX(Tasks[_ShownFcstStart],Tasks[[#This Row],[_Row]]+Tasks[[#This Row],[_Descendants]])),Tasks[[#This Row],[_ShownFcstStart]]))</f>
        <v/>
      </c>
      <c r="AB57" s="25" t="str">
        <f aca="false">IF(Tasks[[#This Row],[Task Name]]="","",IF(Tasks[[#This Row],[_IsSummary]],MAX(INDEX(Tasks[_ShownFcstFinish],Tasks[[#This Row],[_Row]]+1):INDEX(Tasks[_ShownFcstFinish],Tasks[[#This Row],[_Row]]+Tasks[[#This Row],[_Descendants]])),Tasks[[#This Row],[_ShownFcstFinish]]))</f>
        <v/>
      </c>
      <c r="AC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7" s="25" t="str">
        <f aca="false">IF(Tasks[[#This Row],[Task Name]]="","",IF(Tasks[[#This Row],[_IsSummary]],MIN(INDEX(Tasks[_LeafLateStart],Tasks[[#This Row],[_Row]]+1):INDEX(Tasks[_LeafLateStart],Tasks[[#This Row],[_Row]]+Tasks[[#This Row],[_Descendants]])),Tasks[[#This Row],[_LeafLateStart]]))</f>
        <v/>
      </c>
      <c r="AF57" s="25" t="str">
        <f aca="false">IF(Tasks[[#This Row],[Task Name]]="","",IF(Tasks[[#This Row],[_IsSummary]],MAX(INDEX(Tasks[_LeafLateFinish],Tasks[[#This Row],[_Row]]+1):INDEX(Tasks[_LeafLateFinish],Tasks[[#This Row],[_Row]]+Tasks[[#This Row],[_Descendants]])),Tasks[[#This Row],[_LeafLateFinish]]))</f>
        <v/>
      </c>
      <c r="AG57" s="28" t="str">
        <f aca="false">IF(Tasks[[#This Row],[Task Name]]="","",IF(Tasks[[#This Row],[_IsSummary]],MIN(INDEX(Tasks[_LeafTotalSlack],Tasks[[#This Row],[_Row]]+1):INDEX(Tasks[_LeafTotalSlack],Tasks[[#This Row],[_Row]]+Tasks[[#This Row],[_Descendants]])),Tasks[[#This Row],[_LeafTotalSlack]]))</f>
        <v/>
      </c>
      <c r="AH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7" s="28" t="str">
        <f aca="false">IF(Tasks[[#This Row],[Task Name]]="","",IF(IF(Tasks[[#This Row],[_IsSummary]],COUNTIF(INDEX(Tasks[_LeafCritical],Tasks[[#This Row],[_Row]]+1):INDEX(Tasks[_LeafCritical],Tasks[[#This Row],[_Row]]+Tasks[[#This Row],[_Descendants]]),TRUE())&gt;0,Tasks[[#This Row],[_LeafCritical]]),"Yes",""))</f>
        <v/>
      </c>
      <c r="AJ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7" s="89"/>
      <c r="AM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7" s="28" t="str">
        <f aca="false">IF(Tasks[[#This Row],[Task Name]]="","",IF(Tasks[[#This Row],[Progress]]&gt;=1,"Complete",IF(OR(N(Tasks[[#This Row],[Actual Start]])&gt;0,Tasks[[#This Row],[Progress]]&gt;0),IF(Tasks[[#This Row],[Finish Var]]&gt;0,"Behind","In Progress"),IF(Tasks[[#This Row],[Planned Start]]&lt;StatusDate,"Late Start","Not Started"))))</f>
        <v/>
      </c>
      <c r="AO57" s="30"/>
      <c r="AP57" s="89"/>
      <c r="AQ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7" s="96" t="str">
        <f aca="false">IF(Tasks[[#This Row],[Task Name]]="","",IF(Tasks[[#This Row],[_IsSummary]],SUM(INDEX(Tasks[_LeafTotalWork],Tasks[[#This Row],[_Row]]+1):INDEX(Tasks[_LeafTotalWork],Tasks[[#This Row],[_Row]]+Tasks[[#This Row],[_Descendants]])),Tasks[[#This Row],[_LeafTotalWork]]))</f>
        <v/>
      </c>
      <c r="AT57" s="97" t="str">
        <f aca="false">IF(Tasks[[#This Row],[Task Name]]="","",IF(Tasks[[#This Row],[_IsSummary]],SUM(INDEX(Tasks[_LeafTotalCost],Tasks[[#This Row],[_Row]]+1):INDEX(Tasks[_LeafTotalCost],Tasks[[#This Row],[_Row]]+Tasks[[#This Row],[_Descendants]])),Tasks[[#This Row],[_LeafTotalCost]]))</f>
        <v/>
      </c>
      <c r="AU57" s="98"/>
      <c r="AV57" s="29"/>
      <c r="AW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7" s="83"/>
      <c r="AY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7" s="30"/>
      <c r="BA57" s="25" t="str">
        <f aca="false">IF(Tasks[[#This Row],[Task Name]]="","",Tasks[[#This Row],[Forecast Start]])</f>
        <v/>
      </c>
      <c r="BB57" s="25" t="str">
        <f aca="false">IF(Tasks[[#This Row],[Task Name]]="","",Tasks[[#This Row],[Forecast Finish]])</f>
        <v/>
      </c>
      <c r="BC57" s="28" t="str">
        <f aca="false">IF(Tasks[[#This Row],[Task Name]]="","",IF(Tasks[[#This Row],[_IsSummary]],NETWORKDAYS.INTL(Tasks[[#This Row],[Forecast Start]],Tasks[[#This Row],[Forecast Finish]],WorkWeek,Holidays),N(Tasks[[#This Row],[Duration]])))</f>
        <v/>
      </c>
      <c r="BD57" s="96" t="str">
        <f aca="false">IF(Tasks[[#This Row],[Task Name]]="","",Tasks[[#This Row],[Work]])</f>
        <v/>
      </c>
      <c r="BE57" s="97" t="str">
        <f aca="false">IF(Tasks[[#This Row],[Task Name]]="","",Tasks[[#This Row],[Cost]])</f>
        <v/>
      </c>
      <c r="BF57" s="75"/>
      <c r="BG57" s="75"/>
      <c r="BH57" s="29"/>
      <c r="BI57" s="99"/>
      <c r="BJ57" s="98"/>
      <c r="BK57" s="28" t="str">
        <f aca="false">IF(OR(Tasks[[#This Row],[Task Name]]="",Tasks[[#This Row],[Baseline Duration]]=""),"",Tasks[[#This Row],[BL Source Duration]]-N(Tasks[[#This Row],[Baseline Duration]]))</f>
        <v/>
      </c>
      <c r="BL57" s="96" t="str">
        <f aca="false">IF(OR(Tasks[[#This Row],[Task Name]]="",Tasks[[#This Row],[Baseline Work]]=""),"",Tasks[[#This Row],[Work]]-N(Tasks[[#This Row],[Baseline Work]]))</f>
        <v/>
      </c>
      <c r="BM57" s="97" t="str">
        <f aca="false">IF(OR(Tasks[[#This Row],[Task Name]]="",Tasks[[#This Row],[Baseline Cost]]=""),"",Tasks[[#This Row],[Cost]]-N(Tasks[[#This Row],[Baseline Cost]]))</f>
        <v/>
      </c>
      <c r="BN57" s="97" t="str">
        <f aca="false">IF(Tasks[[#This Row],[Task Name]]="","",IF(Tasks[[#This Row],[_IsSummary]],SUM(INDEX(Tasks[_LeafBudget],Tasks[[#This Row],[_Row]]+1):INDEX(Tasks[_LeafBudget],Tasks[[#This Row],[_Row]]+Tasks[[#This Row],[_Descendants]])),Tasks[[#This Row],[_LeafBudget]]))</f>
        <v/>
      </c>
      <c r="BO57" s="97" t="str">
        <f aca="false">IF(Tasks[[#This Row],[Task Name]]="","",IF(Tasks[[#This Row],[_IsSummary]],SUM(INDEX(Tasks[_LeafPV],Tasks[[#This Row],[_Row]]+1):INDEX(Tasks[_LeafPV],Tasks[[#This Row],[_Row]]+Tasks[[#This Row],[_Descendants]])),Tasks[[#This Row],[_LeafPV]]))</f>
        <v/>
      </c>
      <c r="BP57" s="97" t="str">
        <f aca="false">IF(Tasks[[#This Row],[Task Name]]="","",IF(Tasks[[#This Row],[_IsSummary]],SUM(INDEX(Tasks[_LeafEV],Tasks[[#This Row],[_Row]]+1):INDEX(Tasks[_LeafEV],Tasks[[#This Row],[_Row]]+Tasks[[#This Row],[_Descendants]])),Tasks[[#This Row],[_LeafEV]]))</f>
        <v/>
      </c>
      <c r="BQ57" s="97" t="str">
        <f aca="false">IF(Tasks[[#This Row],[Task Name]]="","",IF(Tasks[[#This Row],[_IsSummary]],SUM(INDEX(Tasks[_LeafAC],Tasks[[#This Row],[_Row]]+1):INDEX(Tasks[_LeafAC],Tasks[[#This Row],[_Row]]+Tasks[[#This Row],[_Descendants]])),Tasks[[#This Row],[_LeafAC]]))</f>
        <v/>
      </c>
      <c r="BR57" s="41" t="str">
        <f aca="false">IF(Tasks[[#This Row],[Task Name]]="","",MAX(1,N(Tasks[[#This Row],[Level]])))</f>
        <v/>
      </c>
      <c r="BS57" s="41" t="n">
        <f aca="false">ROW()-ROW(Tasks[[#Headers],[ID]])</f>
        <v>52</v>
      </c>
      <c r="BT57" s="41" t="n">
        <f aca="false">IF(OR(Tasks[[#This Row],[Task Name]]="",Tasks[[#This Row],[_Level]]&lt;=1),0,IFERROR(LOOKUP(2,1/(Tasks[[#Headers],[_Level]]:Tasks[[#This Row],[_Level]]=Tasks[[#This Row],[_Level]]-1),ROW(Tasks[[#Headers],[_Level]]:Tasks[[#This Row],[_Level]])),0))</f>
        <v>0</v>
      </c>
      <c r="BU57" s="41" t="n">
        <f aca="false">IFERROR(N(INDEX(Tasks[_Level],Tasks[[#This Row],[_Row]]+1)),0)</f>
        <v>0</v>
      </c>
      <c r="BV57" s="100" t="b">
        <f aca="false">AND(Tasks[[#This Row],[Task Name]]&lt;&gt;"",Tasks[[#This Row],[_NextLevel]]&gt;Tasks[[#This Row],[_Level]])</f>
        <v>0</v>
      </c>
      <c r="BW57" s="41" t="n">
        <f aca="false">IF(Tasks[[#This Row],[_IsSummary]],COUNTIF(Tasks[WBS],Tasks[[#This Row],[WBS]]&amp;".*"),0)</f>
        <v>0</v>
      </c>
      <c r="BX57" s="41" t="n">
        <f aca="false">IF(AND(Tasks[[#This Row],[Task Name]]&lt;&gt;"",NOT(Tasks[[#This Row],[_IsSummary]])),1,0)</f>
        <v>0</v>
      </c>
      <c r="BY57" s="41" t="n">
        <f aca="false">IF(N(Tasks[[#This Row],[Pred1 UID]])=0,0,IFERROR(MATCH(Tasks[[#This Row],[Pred1 UID]],Tasks[UID],0),-1))</f>
        <v>0</v>
      </c>
      <c r="BZ57" s="41" t="n">
        <f aca="false">IF(N(Tasks[[#This Row],[Pred2 UID]])=0,0,IFERROR(MATCH(Tasks[[#This Row],[Pred2 UID]],Tasks[UID],0),-1))</f>
        <v>0</v>
      </c>
      <c r="CA57" s="41" t="n">
        <f aca="false">IF(N(Tasks[[#This Row],[Pred3 UID]])=0,0,IFERROR(MATCH(Tasks[[#This Row],[Pred3 UID]],Tasks[UID],0),-1))</f>
        <v>0</v>
      </c>
      <c r="CB57" s="41" t="n">
        <f aca="false">IF(N(Tasks[[#This Row],[Pred4 UID]])=0,0,IFERROR(MATCH(Tasks[[#This Row],[Pred4 UID]],Tasks[UID],0),-1))</f>
        <v>0</v>
      </c>
      <c r="CC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7" s="101" t="n">
        <f aca="false">IF(OR(Tasks[[#This Row],[_ConstraintCode]]=2,Tasks[[#This Row],[_ConstraintCode]]=3,Tasks[[#This Row],[_ConstraintCode]]=4,Tasks[[#This Row],[_ConstraintCode]]=6),Tasks[[#This Row],[_ConstraintStart]],0)</f>
        <v>0</v>
      </c>
      <c r="CF57" s="101" t="n">
        <f aca="false">IF(OR(Tasks[[#This Row],[_ConstraintCode]]=2,Tasks[[#This Row],[_ConstraintCode]]=3,Tasks[[#This Row],[_ConstraintCode]]=5,Tasks[[#This Row],[_ConstraintCode]]=7),Tasks[[#This Row],[_ConstraintStart]],2958465)</f>
        <v>2958465</v>
      </c>
      <c r="CG5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7" s="101" t="str">
        <f aca="false">IF(NOT(Tasks[[#This Row],[_IsLeaf]]=1),"",IF(N(Tasks[[#This Row],[Duration]])&lt;=0,Tasks[[#This Row],[_LeafCalcStart]],WORKDAY.INTL(Tasks[[#This Row],[_LeafCalcStart]],Tasks[[#This Row],[Duration]]-1,WorkWeek,Holidays)))</f>
        <v/>
      </c>
      <c r="CI5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7" s="41" t="n">
        <f aca="false">IF(NOT(Tasks[[#This Row],[_IsLeaf]]=1),0,IF(N(Tasks[[#This Row],[Actual Finish]])&gt;0,1,MIN(1,N(Tasks[[#This Row],[% Complete]]))))</f>
        <v>0</v>
      </c>
      <c r="CL57" s="41" t="n">
        <f aca="false">IF(OR(NOT(Tasks[[#This Row],[_IsLeaf]]=1),Tasks[[#This Row],[Resource]]=""),0,N(Tasks[[#This Row],[Duration]])*HoursPerDay*IF(Tasks[[#This Row],[Units]]="",DefaultUnits,Tasks[[#This Row],[Units]]))</f>
        <v>0</v>
      </c>
      <c r="CM57" s="41" t="n">
        <f aca="false">IF(Tasks[[#This Row],[_LeafWork]]=0,0,Tasks[[#This Row],[_LeafWork]]*IFERROR(INDEX(res_Rate,MATCH(Tasks[[#This Row],[Resource]],res_Name,0)),0))</f>
        <v>0</v>
      </c>
      <c r="CN57" s="41" t="n">
        <f aca="false">Tasks[[#This Row],[_LeafWork]]+IF(Tasks[[#This Row],[_IsLeaf]]=1,SUMIFS(asg_Work,asg_TaskUID,Tasks[[#This Row],[UID]],asg_Valid,1),0)</f>
        <v>0</v>
      </c>
      <c r="CO57" s="41" t="n">
        <f aca="false">Tasks[[#This Row],[_LeafCost]]+IF(Tasks[[#This Row],[_IsLeaf]]=1,SUMIFS(asg_Cost,asg_TaskUID,Tasks[[#This Row],[UID]],asg_Valid,1),0)</f>
        <v>0</v>
      </c>
      <c r="CP57" s="41" t="n">
        <f aca="false">IF(Tasks[[#This Row],[_LeafTotalCost]]=0,Tasks[[#This Row],[_LeafAC]],Tasks[[#This Row],[_LeafAC]]*Tasks[[#This Row],[_LeafCost]]/Tasks[[#This Row],[_LeafTotalCost]])</f>
        <v>0</v>
      </c>
      <c r="CQ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7" s="41" t="n">
        <f aca="false">IF(NOT(Tasks[[#This Row],[_IsLeaf]]=1),0,MAX(_xlfn.MAXIFS(Tasks[_Row],Tasks[Pred1 UID],Tasks[[#This Row],[UID]]),_xlfn.MAXIFS(Tasks[_Row],Tasks[Pred2 UID],Tasks[[#This Row],[UID]]),_xlfn.MAXIFS(Tasks[_Row],Tasks[Pred3 UID],Tasks[[#This Row],[UID]]),_xlfn.MAXIFS(Tasks[_Row],Tasks[Pred4 UID],Tasks[[#This Row],[UID]])))</f>
        <v>0</v>
      </c>
      <c r="CZ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7" s="101" t="str">
        <f aca="false">IF(NOT(Tasks[[#This Row],[_IsLeaf]]=1),"",IF(N(Tasks[[#This Row],[Duration]])&lt;=0,Tasks[[#This Row],[_LeafLateFinish]],WORKDAY.INTL(Tasks[[#This Row],[_LeafLateFinish]],-(Tasks[[#This Row],[Duration]]-1),WorkWeek,Holidays)))</f>
        <v/>
      </c>
      <c r="DC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7" s="100" t="b">
        <f aca="false">AND(Tasks[[#This Row],[_IsLeaf]]=1,Tasks[[#This Row],[_LeafProgress]]&lt;1,N(Tasks[[#This Row],[_LeafTotalSlack]])&lt;=CriticalSlackDays)</f>
        <v>0</v>
      </c>
      <c r="DE57" s="41" t="n">
        <f aca="false">IF(AND(Tasks[[#This Row],[_IsLeaf]]=1,Tasks[[#This Row],[_ConstraintCode]]=1,Tasks[[#This Row],[Mode]]&lt;&gt;"Manual",N(Tasks[[#This Row],[Actual Start]])=0),MAX(0,N(Tasks[[#This Row],[Free Slack]])),0)</f>
        <v>0</v>
      </c>
      <c r="DF57" s="101" t="str">
        <f aca="false">IF(NOT(Tasks[[#This Row],[_IsLeaf]]=1),"",IF(Tasks[[#This Row],[_AlapShift]]=0,Tasks[[#This Row],[_LeafCalcStart]],WORKDAY.INTL(Tasks[[#This Row],[_LeafCalcStart]],Tasks[[#This Row],[_AlapShift]],WorkWeek,Holidays)))</f>
        <v/>
      </c>
      <c r="DG57" s="101" t="str">
        <f aca="false">IF(NOT(Tasks[[#This Row],[_IsLeaf]]=1),"",IF(Tasks[[#This Row],[_AlapShift]]=0,Tasks[[#This Row],[_LeafCalcFinish]],WORKDAY.INTL(Tasks[[#This Row],[_LeafCalcFinish]],Tasks[[#This Row],[_AlapShift]],WorkWeek,Holidays)))</f>
        <v/>
      </c>
      <c r="DH57" s="101" t="str">
        <f aca="false">IF(NOT(Tasks[[#This Row],[_IsLeaf]]=1),"",IF(Tasks[[#This Row],[_AlapShift]]=0,Tasks[[#This Row],[_LeafFcstStart]],WORKDAY.INTL(Tasks[[#This Row],[_LeafFcstStart]],Tasks[[#This Row],[_AlapShift]],WorkWeek,Holidays)))</f>
        <v/>
      </c>
      <c r="DI57" s="101" t="str">
        <f aca="false">IF(NOT(Tasks[[#This Row],[_IsLeaf]]=1),"",IF(Tasks[[#This Row],[_AlapShift]]=0,Tasks[[#This Row],[_LeafFcstFinish]],WORKDAY.INTL(Tasks[[#This Row],[_LeafFcstFinish]],Tasks[[#This Row],[_AlapShift]],WorkWeek,Holidays)))</f>
        <v/>
      </c>
      <c r="DJ57" s="101" t="str">
        <f aca="false">IF(Tasks[[#This Row],[Task Name]]="","",IF(Tasks[[#This Row],[_IsSummary]],MIN(INDEX(Tasks[_ShownCalcStart],Tasks[[#This Row],[_Row]]+1):INDEX(Tasks[_ShownCalcStart],Tasks[[#This Row],[_Row]]+Tasks[[#This Row],[_Descendants]])),Tasks[[#This Row],[_ShownCalcStart]]))</f>
        <v/>
      </c>
      <c r="DK57" s="101" t="str">
        <f aca="false">IF(Tasks[[#This Row],[Task Name]]="","",IF(Tasks[[#This Row],[_IsSummary]],MAX(INDEX(Tasks[_ShownCalcFinish],Tasks[[#This Row],[_Row]]+1):INDEX(Tasks[_ShownCalcFinish],Tasks[[#This Row],[_Row]]+Tasks[[#This Row],[_Descendants]])),Tasks[[#This Row],[_ShownCalcFinish]]))</f>
        <v/>
      </c>
      <c r="D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7" s="41" t="n">
        <f aca="false">IF(AND(Tasks[[#This Row],[_IsLeaf]]=1,Tasks[[#This Row],[_LeafTotalWork]]&gt;0),NETWORKDAYS.INTL(ProjectStart,Tasks[[#This Row],[_ShownFcstStart]],WorkWeek,Holidays),0)</f>
        <v>0</v>
      </c>
      <c r="DY57" s="41" t="n">
        <f aca="false">IF(AND(Tasks[[#This Row],[_IsLeaf]]=1,Tasks[[#This Row],[_LeafTotalWork]]&gt;0),MAX(Tasks[[#This Row],[_StartWorkday]],NETWORKDAYS.INTL(ProjectStart,Tasks[[#This Row],[_ShownFcstFinish]],WorkWeek,Holidays)),0)</f>
        <v>0</v>
      </c>
      <c r="DZ57" s="41" t="n">
        <f aca="false">IF(AND(Tasks[[#This Row],[_IsLeaf]]=1,Tasks[[#This Row],[_LeafTotalWork]]&gt;0),Tasks[[#This Row],[_LeafWork]]/(Tasks[[#This Row],[_FinishWorkday]]-Tasks[[#This Row],[_StartWorkday]]+1),0)</f>
        <v>0</v>
      </c>
      <c r="EA57" s="41" t="n">
        <f aca="false">Tasks[[#This Row],[_WorkPerWorkday]]*(Tasks[[#This Row],[_StartWorkday]]-1)</f>
        <v>-0</v>
      </c>
      <c r="EB57" s="41" t="n">
        <f aca="false">IF(Tasks[[#This Row],[_IsLeaf]]=1,MAX(N(Tasks[[#This Row],[Duration]]),0.1),0)</f>
        <v>0</v>
      </c>
      <c r="EC57" s="41" t="n">
        <f aca="false">Tasks[[#This Row],[_WeightDur]]*Tasks[[#This Row],[_LeafProgress]]</f>
        <v>0</v>
      </c>
      <c r="ED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7" s="41" t="str">
        <f aca="false">IF(AND(Tasks[[#This Row],[_IsLeaf]]=1,N(Tasks[[#This Row],[Duration]])=0,Tasks[[#This Row],[_LeafProgress]]&lt;1),Tasks[[#This Row],[_ShownFcstFinish]]+Tasks[[#This Row],[_Row]]/100000,"")</f>
        <v/>
      </c>
      <c r="EF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7" s="41" t="n">
        <f aca="false">IF(NOT(Tasks[[#This Row],[_IsLeaf]]=1),0,IF(Tasks[[#This Row],[Baseline Cost]]="",Tasks[[#This Row],[_LeafTotalCost]],N(Tasks[[#This Row],[Baseline Cost]])))</f>
        <v>0</v>
      </c>
      <c r="EH57" s="41" t="n">
        <f aca="false">Tasks[[#This Row],[_LeafBudget]]*Tasks[[#This Row],[_PlannedPct]]</f>
        <v>0</v>
      </c>
      <c r="EI57" s="41" t="n">
        <f aca="false">Tasks[[#This Row],[_LeafBudget]]*Tasks[[#This Row],[_LeafProgress]]</f>
        <v>0</v>
      </c>
      <c r="EJ57" s="41" t="n">
        <f aca="false">IF(NOT(Tasks[[#This Row],[_IsLeaf]]=1),0,IF(Tasks[[#This Row],[Actual Cost]]="",Tasks[[#This Row],[_LeafTotalCost]]*Tasks[[#This Row],[_LeafProgress]],N(Tasks[[#This Row],[Actual Cost]])))</f>
        <v>0</v>
      </c>
      <c r="EK57" s="41" t="str">
        <f aca="false">IF(Tasks[[#This Row],[Task Name]]="","",LEFT(Tasks[[#This Row],[WBS]],FIND(".",Tasks[[#This Row],[WBS]]&amp;".")-1))</f>
        <v/>
      </c>
      <c r="EL57" s="41" t="str">
        <f aca="false">IF(AND(Tasks[[#This Row],[Task Name]]&lt;&gt;"",Tasks[[#This Row],[_Level]]=1),Tasks[[#This Row],[_Row]],"")</f>
        <v/>
      </c>
      <c r="EM57" s="41" t="str">
        <f aca="false">IF(AND(Tasks[[#This Row],[_IsLeaf]]=1,N(Tasks[[#This Row],[Duration]])=0),Tasks[[#This Row],[Planned Finish]]+Tasks[[#This Row],[_Row]]/100000,"")</f>
        <v/>
      </c>
      <c r="EN57" s="41" t="str">
        <f aca="false">IF(AND(Tasks[[#This Row],[_IsLeaf]]=1,Tasks[[#This Row],[_LeafProgress]]&lt;1,OR(N(Tasks[[#This Row],[Finish Var]])&gt;0,Tasks[[#This Row],[Status]]="Late Start")),MAX(0,Tasks[[#This Row],[Finish Var]])+1-Tasks[[#This Row],[_Row]]/1000000,"")</f>
        <v/>
      </c>
      <c r="EO57" s="41" t="str">
        <f aca="false">IF(AND(Tasks[[#This Row],[_IsLeaf]]=1,N(Tasks[[#This Row],[Actual Start]])=0,Tasks[[#This Row],[_ShownFcstStart]]&gt;=StatusDate,Tasks[[#This Row],[_ShownFcstStart]]&lt;=LookaheadEnd),Tasks[[#This Row],[_ShownFcstStart]]+Tasks[[#This Row],[_Row]]/100000,"")</f>
        <v/>
      </c>
      <c r="EP57" s="41" t="str">
        <f aca="false">IF(AND(Tasks[[#This Row],[_IsLeaf]]=1,Tasks[[#This Row],[_LeafProgress]]&lt;1,Tasks[[#This Row],[_ShownFcstFinish]]&gt;=StatusDate,Tasks[[#This Row],[_ShownFcstFinish]]&lt;=LookaheadEnd),Tasks[[#This Row],[_ShownFcstFinish]]+Tasks[[#This Row],[_Row]]/100000,"")</f>
        <v/>
      </c>
      <c r="EQ57" s="41" t="str">
        <f aca="false">IF(Tasks[[#This Row],[_LeafCritical]],Tasks[[#This Row],[_ShownFcstStart]]+Tasks[[#This Row],[_Row]]/100000,"")</f>
        <v/>
      </c>
      <c r="ER57" s="41" t="n">
        <f aca="false">Tasks[[#This Row],[_LeafWork]]*Tasks[[#This Row],[_LeafProgress]]</f>
        <v>0</v>
      </c>
      <c r="ES57" s="101" t="str">
        <f aca="false">IF(AND(Tasks[[#This Row],[_IsLeaf]]=1,Tasks[[#This Row],[_LeafProgress]]&gt;=1),IF(N(Tasks[[#This Row],[Actual Finish]])&gt;0,Tasks[[#This Row],[Actual Finish]],Tasks[[#This Row],[_ShownFcstFinish]]),"")</f>
        <v/>
      </c>
      <c r="ET57" s="41" t="n">
        <f aca="false">IF(Tasks[[#This Row],[_IsLeaf]]=1,N(Tasks[[#This Row],[Story Points]]),0)</f>
        <v>0</v>
      </c>
      <c r="EU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29"/>
      <c r="O58" s="29"/>
      <c r="P58" s="29"/>
      <c r="Q58" s="29"/>
      <c r="R58" s="29"/>
      <c r="S58" s="29"/>
      <c r="T58" s="30"/>
      <c r="U58" s="75"/>
      <c r="V58" s="75"/>
      <c r="W58" s="25" t="str">
        <f aca="false">IF(Tasks[[#This Row],[Task Name]]="","",IF(N(Tasks[[#This Row],[Baseline Start]])&gt;0,Tasks[[#This Row],[Baseline Start]],Tasks[[#This Row],[_CalcStart]]))</f>
        <v/>
      </c>
      <c r="X58" s="25" t="str">
        <f aca="false">IF(Tasks[[#This Row],[Task Name]]="","",IF(N(Tasks[[#This Row],[Baseline Finish]])&gt;0,Tasks[[#This Row],[Baseline Finish]],Tasks[[#This Row],[_CalcFinish]]))</f>
        <v/>
      </c>
      <c r="Y58" s="75"/>
      <c r="Z58" s="75"/>
      <c r="AA58" s="25" t="str">
        <f aca="false">IF(Tasks[[#This Row],[Task Name]]="","",IF(Tasks[[#This Row],[_IsSummary]],MIN(INDEX(Tasks[_ShownFcstStart],Tasks[[#This Row],[_Row]]+1):INDEX(Tasks[_ShownFcstStart],Tasks[[#This Row],[_Row]]+Tasks[[#This Row],[_Descendants]])),Tasks[[#This Row],[_ShownFcstStart]]))</f>
        <v/>
      </c>
      <c r="AB58" s="25" t="str">
        <f aca="false">IF(Tasks[[#This Row],[Task Name]]="","",IF(Tasks[[#This Row],[_IsSummary]],MAX(INDEX(Tasks[_ShownFcstFinish],Tasks[[#This Row],[_Row]]+1):INDEX(Tasks[_ShownFcstFinish],Tasks[[#This Row],[_Row]]+Tasks[[#This Row],[_Descendants]])),Tasks[[#This Row],[_ShownFcstFinish]]))</f>
        <v/>
      </c>
      <c r="AC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8" s="25" t="str">
        <f aca="false">IF(Tasks[[#This Row],[Task Name]]="","",IF(Tasks[[#This Row],[_IsSummary]],MIN(INDEX(Tasks[_LeafLateStart],Tasks[[#This Row],[_Row]]+1):INDEX(Tasks[_LeafLateStart],Tasks[[#This Row],[_Row]]+Tasks[[#This Row],[_Descendants]])),Tasks[[#This Row],[_LeafLateStart]]))</f>
        <v/>
      </c>
      <c r="AF58" s="25" t="str">
        <f aca="false">IF(Tasks[[#This Row],[Task Name]]="","",IF(Tasks[[#This Row],[_IsSummary]],MAX(INDEX(Tasks[_LeafLateFinish],Tasks[[#This Row],[_Row]]+1):INDEX(Tasks[_LeafLateFinish],Tasks[[#This Row],[_Row]]+Tasks[[#This Row],[_Descendants]])),Tasks[[#This Row],[_LeafLateFinish]]))</f>
        <v/>
      </c>
      <c r="AG58" s="28" t="str">
        <f aca="false">IF(Tasks[[#This Row],[Task Name]]="","",IF(Tasks[[#This Row],[_IsSummary]],MIN(INDEX(Tasks[_LeafTotalSlack],Tasks[[#This Row],[_Row]]+1):INDEX(Tasks[_LeafTotalSlack],Tasks[[#This Row],[_Row]]+Tasks[[#This Row],[_Descendants]])),Tasks[[#This Row],[_LeafTotalSlack]]))</f>
        <v/>
      </c>
      <c r="AH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8" s="28" t="str">
        <f aca="false">IF(Tasks[[#This Row],[Task Name]]="","",IF(IF(Tasks[[#This Row],[_IsSummary]],COUNTIF(INDEX(Tasks[_LeafCritical],Tasks[[#This Row],[_Row]]+1):INDEX(Tasks[_LeafCritical],Tasks[[#This Row],[_Row]]+Tasks[[#This Row],[_Descendants]]),TRUE())&gt;0,Tasks[[#This Row],[_LeafCritical]]),"Yes",""))</f>
        <v/>
      </c>
      <c r="AJ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8" s="89"/>
      <c r="AM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8" s="28" t="str">
        <f aca="false">IF(Tasks[[#This Row],[Task Name]]="","",IF(Tasks[[#This Row],[Progress]]&gt;=1,"Complete",IF(OR(N(Tasks[[#This Row],[Actual Start]])&gt;0,Tasks[[#This Row],[Progress]]&gt;0),IF(Tasks[[#This Row],[Finish Var]]&gt;0,"Behind","In Progress"),IF(Tasks[[#This Row],[Planned Start]]&lt;StatusDate,"Late Start","Not Started"))))</f>
        <v/>
      </c>
      <c r="AO58" s="30"/>
      <c r="AP58" s="89"/>
      <c r="AQ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8" s="96" t="str">
        <f aca="false">IF(Tasks[[#This Row],[Task Name]]="","",IF(Tasks[[#This Row],[_IsSummary]],SUM(INDEX(Tasks[_LeafTotalWork],Tasks[[#This Row],[_Row]]+1):INDEX(Tasks[_LeafTotalWork],Tasks[[#This Row],[_Row]]+Tasks[[#This Row],[_Descendants]])),Tasks[[#This Row],[_LeafTotalWork]]))</f>
        <v/>
      </c>
      <c r="AT58" s="97" t="str">
        <f aca="false">IF(Tasks[[#This Row],[Task Name]]="","",IF(Tasks[[#This Row],[_IsSummary]],SUM(INDEX(Tasks[_LeafTotalCost],Tasks[[#This Row],[_Row]]+1):INDEX(Tasks[_LeafTotalCost],Tasks[[#This Row],[_Row]]+Tasks[[#This Row],[_Descendants]])),Tasks[[#This Row],[_LeafTotalCost]]))</f>
        <v/>
      </c>
      <c r="AU58" s="98"/>
      <c r="AV58" s="29"/>
      <c r="AW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8" s="83"/>
      <c r="AY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8" s="30"/>
      <c r="BA58" s="25" t="str">
        <f aca="false">IF(Tasks[[#This Row],[Task Name]]="","",Tasks[[#This Row],[Forecast Start]])</f>
        <v/>
      </c>
      <c r="BB58" s="25" t="str">
        <f aca="false">IF(Tasks[[#This Row],[Task Name]]="","",Tasks[[#This Row],[Forecast Finish]])</f>
        <v/>
      </c>
      <c r="BC58" s="28" t="str">
        <f aca="false">IF(Tasks[[#This Row],[Task Name]]="","",IF(Tasks[[#This Row],[_IsSummary]],NETWORKDAYS.INTL(Tasks[[#This Row],[Forecast Start]],Tasks[[#This Row],[Forecast Finish]],WorkWeek,Holidays),N(Tasks[[#This Row],[Duration]])))</f>
        <v/>
      </c>
      <c r="BD58" s="96" t="str">
        <f aca="false">IF(Tasks[[#This Row],[Task Name]]="","",Tasks[[#This Row],[Work]])</f>
        <v/>
      </c>
      <c r="BE58" s="97" t="str">
        <f aca="false">IF(Tasks[[#This Row],[Task Name]]="","",Tasks[[#This Row],[Cost]])</f>
        <v/>
      </c>
      <c r="BF58" s="75"/>
      <c r="BG58" s="75"/>
      <c r="BH58" s="29"/>
      <c r="BI58" s="99"/>
      <c r="BJ58" s="98"/>
      <c r="BK58" s="28" t="str">
        <f aca="false">IF(OR(Tasks[[#This Row],[Task Name]]="",Tasks[[#This Row],[Baseline Duration]]=""),"",Tasks[[#This Row],[BL Source Duration]]-N(Tasks[[#This Row],[Baseline Duration]]))</f>
        <v/>
      </c>
      <c r="BL58" s="96" t="str">
        <f aca="false">IF(OR(Tasks[[#This Row],[Task Name]]="",Tasks[[#This Row],[Baseline Work]]=""),"",Tasks[[#This Row],[Work]]-N(Tasks[[#This Row],[Baseline Work]]))</f>
        <v/>
      </c>
      <c r="BM58" s="97" t="str">
        <f aca="false">IF(OR(Tasks[[#This Row],[Task Name]]="",Tasks[[#This Row],[Baseline Cost]]=""),"",Tasks[[#This Row],[Cost]]-N(Tasks[[#This Row],[Baseline Cost]]))</f>
        <v/>
      </c>
      <c r="BN58" s="97" t="str">
        <f aca="false">IF(Tasks[[#This Row],[Task Name]]="","",IF(Tasks[[#This Row],[_IsSummary]],SUM(INDEX(Tasks[_LeafBudget],Tasks[[#This Row],[_Row]]+1):INDEX(Tasks[_LeafBudget],Tasks[[#This Row],[_Row]]+Tasks[[#This Row],[_Descendants]])),Tasks[[#This Row],[_LeafBudget]]))</f>
        <v/>
      </c>
      <c r="BO58" s="97" t="str">
        <f aca="false">IF(Tasks[[#This Row],[Task Name]]="","",IF(Tasks[[#This Row],[_IsSummary]],SUM(INDEX(Tasks[_LeafPV],Tasks[[#This Row],[_Row]]+1):INDEX(Tasks[_LeafPV],Tasks[[#This Row],[_Row]]+Tasks[[#This Row],[_Descendants]])),Tasks[[#This Row],[_LeafPV]]))</f>
        <v/>
      </c>
      <c r="BP58" s="97" t="str">
        <f aca="false">IF(Tasks[[#This Row],[Task Name]]="","",IF(Tasks[[#This Row],[_IsSummary]],SUM(INDEX(Tasks[_LeafEV],Tasks[[#This Row],[_Row]]+1):INDEX(Tasks[_LeafEV],Tasks[[#This Row],[_Row]]+Tasks[[#This Row],[_Descendants]])),Tasks[[#This Row],[_LeafEV]]))</f>
        <v/>
      </c>
      <c r="BQ58" s="97" t="str">
        <f aca="false">IF(Tasks[[#This Row],[Task Name]]="","",IF(Tasks[[#This Row],[_IsSummary]],SUM(INDEX(Tasks[_LeafAC],Tasks[[#This Row],[_Row]]+1):INDEX(Tasks[_LeafAC],Tasks[[#This Row],[_Row]]+Tasks[[#This Row],[_Descendants]])),Tasks[[#This Row],[_LeafAC]]))</f>
        <v/>
      </c>
      <c r="BR58" s="41" t="str">
        <f aca="false">IF(Tasks[[#This Row],[Task Name]]="","",MAX(1,N(Tasks[[#This Row],[Level]])))</f>
        <v/>
      </c>
      <c r="BS58" s="41" t="n">
        <f aca="false">ROW()-ROW(Tasks[[#Headers],[ID]])</f>
        <v>53</v>
      </c>
      <c r="BT58" s="41" t="n">
        <f aca="false">IF(OR(Tasks[[#This Row],[Task Name]]="",Tasks[[#This Row],[_Level]]&lt;=1),0,IFERROR(LOOKUP(2,1/(Tasks[[#Headers],[_Level]]:Tasks[[#This Row],[_Level]]=Tasks[[#This Row],[_Level]]-1),ROW(Tasks[[#Headers],[_Level]]:Tasks[[#This Row],[_Level]])),0))</f>
        <v>0</v>
      </c>
      <c r="BU58" s="41" t="n">
        <f aca="false">IFERROR(N(INDEX(Tasks[_Level],Tasks[[#This Row],[_Row]]+1)),0)</f>
        <v>0</v>
      </c>
      <c r="BV58" s="100" t="b">
        <f aca="false">AND(Tasks[[#This Row],[Task Name]]&lt;&gt;"",Tasks[[#This Row],[_NextLevel]]&gt;Tasks[[#This Row],[_Level]])</f>
        <v>0</v>
      </c>
      <c r="BW58" s="41" t="n">
        <f aca="false">IF(Tasks[[#This Row],[_IsSummary]],COUNTIF(Tasks[WBS],Tasks[[#This Row],[WBS]]&amp;".*"),0)</f>
        <v>0</v>
      </c>
      <c r="BX58" s="41" t="n">
        <f aca="false">IF(AND(Tasks[[#This Row],[Task Name]]&lt;&gt;"",NOT(Tasks[[#This Row],[_IsSummary]])),1,0)</f>
        <v>0</v>
      </c>
      <c r="BY58" s="41" t="n">
        <f aca="false">IF(N(Tasks[[#This Row],[Pred1 UID]])=0,0,IFERROR(MATCH(Tasks[[#This Row],[Pred1 UID]],Tasks[UID],0),-1))</f>
        <v>0</v>
      </c>
      <c r="BZ58" s="41" t="n">
        <f aca="false">IF(N(Tasks[[#This Row],[Pred2 UID]])=0,0,IFERROR(MATCH(Tasks[[#This Row],[Pred2 UID]],Tasks[UID],0),-1))</f>
        <v>0</v>
      </c>
      <c r="CA58" s="41" t="n">
        <f aca="false">IF(N(Tasks[[#This Row],[Pred3 UID]])=0,0,IFERROR(MATCH(Tasks[[#This Row],[Pred3 UID]],Tasks[UID],0),-1))</f>
        <v>0</v>
      </c>
      <c r="CB58" s="41" t="n">
        <f aca="false">IF(N(Tasks[[#This Row],[Pred4 UID]])=0,0,IFERROR(MATCH(Tasks[[#This Row],[Pred4 UID]],Tasks[UID],0),-1))</f>
        <v>0</v>
      </c>
      <c r="CC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8" s="101" t="n">
        <f aca="false">IF(OR(Tasks[[#This Row],[_ConstraintCode]]=2,Tasks[[#This Row],[_ConstraintCode]]=3,Tasks[[#This Row],[_ConstraintCode]]=4,Tasks[[#This Row],[_ConstraintCode]]=6),Tasks[[#This Row],[_ConstraintStart]],0)</f>
        <v>0</v>
      </c>
      <c r="CF58" s="101" t="n">
        <f aca="false">IF(OR(Tasks[[#This Row],[_ConstraintCode]]=2,Tasks[[#This Row],[_ConstraintCode]]=3,Tasks[[#This Row],[_ConstraintCode]]=5,Tasks[[#This Row],[_ConstraintCode]]=7),Tasks[[#This Row],[_ConstraintStart]],2958465)</f>
        <v>2958465</v>
      </c>
      <c r="CG5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8" s="101" t="str">
        <f aca="false">IF(NOT(Tasks[[#This Row],[_IsLeaf]]=1),"",IF(N(Tasks[[#This Row],[Duration]])&lt;=0,Tasks[[#This Row],[_LeafCalcStart]],WORKDAY.INTL(Tasks[[#This Row],[_LeafCalcStart]],Tasks[[#This Row],[Duration]]-1,WorkWeek,Holidays)))</f>
        <v/>
      </c>
      <c r="CI5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8" s="41" t="n">
        <f aca="false">IF(NOT(Tasks[[#This Row],[_IsLeaf]]=1),0,IF(N(Tasks[[#This Row],[Actual Finish]])&gt;0,1,MIN(1,N(Tasks[[#This Row],[% Complete]]))))</f>
        <v>0</v>
      </c>
      <c r="CL58" s="41" t="n">
        <f aca="false">IF(OR(NOT(Tasks[[#This Row],[_IsLeaf]]=1),Tasks[[#This Row],[Resource]]=""),0,N(Tasks[[#This Row],[Duration]])*HoursPerDay*IF(Tasks[[#This Row],[Units]]="",DefaultUnits,Tasks[[#This Row],[Units]]))</f>
        <v>0</v>
      </c>
      <c r="CM58" s="41" t="n">
        <f aca="false">IF(Tasks[[#This Row],[_LeafWork]]=0,0,Tasks[[#This Row],[_LeafWork]]*IFERROR(INDEX(res_Rate,MATCH(Tasks[[#This Row],[Resource]],res_Name,0)),0))</f>
        <v>0</v>
      </c>
      <c r="CN58" s="41" t="n">
        <f aca="false">Tasks[[#This Row],[_LeafWork]]+IF(Tasks[[#This Row],[_IsLeaf]]=1,SUMIFS(asg_Work,asg_TaskUID,Tasks[[#This Row],[UID]],asg_Valid,1),0)</f>
        <v>0</v>
      </c>
      <c r="CO58" s="41" t="n">
        <f aca="false">Tasks[[#This Row],[_LeafCost]]+IF(Tasks[[#This Row],[_IsLeaf]]=1,SUMIFS(asg_Cost,asg_TaskUID,Tasks[[#This Row],[UID]],asg_Valid,1),0)</f>
        <v>0</v>
      </c>
      <c r="CP58" s="41" t="n">
        <f aca="false">IF(Tasks[[#This Row],[_LeafTotalCost]]=0,Tasks[[#This Row],[_LeafAC]],Tasks[[#This Row],[_LeafAC]]*Tasks[[#This Row],[_LeafCost]]/Tasks[[#This Row],[_LeafTotalCost]])</f>
        <v>0</v>
      </c>
      <c r="CQ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8" s="41" t="n">
        <f aca="false">IF(NOT(Tasks[[#This Row],[_IsLeaf]]=1),0,MAX(_xlfn.MAXIFS(Tasks[_Row],Tasks[Pred1 UID],Tasks[[#This Row],[UID]]),_xlfn.MAXIFS(Tasks[_Row],Tasks[Pred2 UID],Tasks[[#This Row],[UID]]),_xlfn.MAXIFS(Tasks[_Row],Tasks[Pred3 UID],Tasks[[#This Row],[UID]]),_xlfn.MAXIFS(Tasks[_Row],Tasks[Pred4 UID],Tasks[[#This Row],[UID]])))</f>
        <v>0</v>
      </c>
      <c r="CZ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8" s="101" t="str">
        <f aca="false">IF(NOT(Tasks[[#This Row],[_IsLeaf]]=1),"",IF(N(Tasks[[#This Row],[Duration]])&lt;=0,Tasks[[#This Row],[_LeafLateFinish]],WORKDAY.INTL(Tasks[[#This Row],[_LeafLateFinish]],-(Tasks[[#This Row],[Duration]]-1),WorkWeek,Holidays)))</f>
        <v/>
      </c>
      <c r="DC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8" s="100" t="b">
        <f aca="false">AND(Tasks[[#This Row],[_IsLeaf]]=1,Tasks[[#This Row],[_LeafProgress]]&lt;1,N(Tasks[[#This Row],[_LeafTotalSlack]])&lt;=CriticalSlackDays)</f>
        <v>0</v>
      </c>
      <c r="DE58" s="41" t="n">
        <f aca="false">IF(AND(Tasks[[#This Row],[_IsLeaf]]=1,Tasks[[#This Row],[_ConstraintCode]]=1,Tasks[[#This Row],[Mode]]&lt;&gt;"Manual",N(Tasks[[#This Row],[Actual Start]])=0),MAX(0,N(Tasks[[#This Row],[Free Slack]])),0)</f>
        <v>0</v>
      </c>
      <c r="DF58" s="101" t="str">
        <f aca="false">IF(NOT(Tasks[[#This Row],[_IsLeaf]]=1),"",IF(Tasks[[#This Row],[_AlapShift]]=0,Tasks[[#This Row],[_LeafCalcStart]],WORKDAY.INTL(Tasks[[#This Row],[_LeafCalcStart]],Tasks[[#This Row],[_AlapShift]],WorkWeek,Holidays)))</f>
        <v/>
      </c>
      <c r="DG58" s="101" t="str">
        <f aca="false">IF(NOT(Tasks[[#This Row],[_IsLeaf]]=1),"",IF(Tasks[[#This Row],[_AlapShift]]=0,Tasks[[#This Row],[_LeafCalcFinish]],WORKDAY.INTL(Tasks[[#This Row],[_LeafCalcFinish]],Tasks[[#This Row],[_AlapShift]],WorkWeek,Holidays)))</f>
        <v/>
      </c>
      <c r="DH58" s="101" t="str">
        <f aca="false">IF(NOT(Tasks[[#This Row],[_IsLeaf]]=1),"",IF(Tasks[[#This Row],[_AlapShift]]=0,Tasks[[#This Row],[_LeafFcstStart]],WORKDAY.INTL(Tasks[[#This Row],[_LeafFcstStart]],Tasks[[#This Row],[_AlapShift]],WorkWeek,Holidays)))</f>
        <v/>
      </c>
      <c r="DI58" s="101" t="str">
        <f aca="false">IF(NOT(Tasks[[#This Row],[_IsLeaf]]=1),"",IF(Tasks[[#This Row],[_AlapShift]]=0,Tasks[[#This Row],[_LeafFcstFinish]],WORKDAY.INTL(Tasks[[#This Row],[_LeafFcstFinish]],Tasks[[#This Row],[_AlapShift]],WorkWeek,Holidays)))</f>
        <v/>
      </c>
      <c r="DJ58" s="101" t="str">
        <f aca="false">IF(Tasks[[#This Row],[Task Name]]="","",IF(Tasks[[#This Row],[_IsSummary]],MIN(INDEX(Tasks[_ShownCalcStart],Tasks[[#This Row],[_Row]]+1):INDEX(Tasks[_ShownCalcStart],Tasks[[#This Row],[_Row]]+Tasks[[#This Row],[_Descendants]])),Tasks[[#This Row],[_ShownCalcStart]]))</f>
        <v/>
      </c>
      <c r="DK58" s="101" t="str">
        <f aca="false">IF(Tasks[[#This Row],[Task Name]]="","",IF(Tasks[[#This Row],[_IsSummary]],MAX(INDEX(Tasks[_ShownCalcFinish],Tasks[[#This Row],[_Row]]+1):INDEX(Tasks[_ShownCalcFinish],Tasks[[#This Row],[_Row]]+Tasks[[#This Row],[_Descendants]])),Tasks[[#This Row],[_ShownCalcFinish]]))</f>
        <v/>
      </c>
      <c r="D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8" s="41" t="n">
        <f aca="false">IF(AND(Tasks[[#This Row],[_IsLeaf]]=1,Tasks[[#This Row],[_LeafTotalWork]]&gt;0),NETWORKDAYS.INTL(ProjectStart,Tasks[[#This Row],[_ShownFcstStart]],WorkWeek,Holidays),0)</f>
        <v>0</v>
      </c>
      <c r="DY58" s="41" t="n">
        <f aca="false">IF(AND(Tasks[[#This Row],[_IsLeaf]]=1,Tasks[[#This Row],[_LeafTotalWork]]&gt;0),MAX(Tasks[[#This Row],[_StartWorkday]],NETWORKDAYS.INTL(ProjectStart,Tasks[[#This Row],[_ShownFcstFinish]],WorkWeek,Holidays)),0)</f>
        <v>0</v>
      </c>
      <c r="DZ58" s="41" t="n">
        <f aca="false">IF(AND(Tasks[[#This Row],[_IsLeaf]]=1,Tasks[[#This Row],[_LeafTotalWork]]&gt;0),Tasks[[#This Row],[_LeafWork]]/(Tasks[[#This Row],[_FinishWorkday]]-Tasks[[#This Row],[_StartWorkday]]+1),0)</f>
        <v>0</v>
      </c>
      <c r="EA58" s="41" t="n">
        <f aca="false">Tasks[[#This Row],[_WorkPerWorkday]]*(Tasks[[#This Row],[_StartWorkday]]-1)</f>
        <v>-0</v>
      </c>
      <c r="EB58" s="41" t="n">
        <f aca="false">IF(Tasks[[#This Row],[_IsLeaf]]=1,MAX(N(Tasks[[#This Row],[Duration]]),0.1),0)</f>
        <v>0</v>
      </c>
      <c r="EC58" s="41" t="n">
        <f aca="false">Tasks[[#This Row],[_WeightDur]]*Tasks[[#This Row],[_LeafProgress]]</f>
        <v>0</v>
      </c>
      <c r="ED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8" s="41" t="str">
        <f aca="false">IF(AND(Tasks[[#This Row],[_IsLeaf]]=1,N(Tasks[[#This Row],[Duration]])=0,Tasks[[#This Row],[_LeafProgress]]&lt;1),Tasks[[#This Row],[_ShownFcstFinish]]+Tasks[[#This Row],[_Row]]/100000,"")</f>
        <v/>
      </c>
      <c r="EF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8" s="41" t="n">
        <f aca="false">IF(NOT(Tasks[[#This Row],[_IsLeaf]]=1),0,IF(Tasks[[#This Row],[Baseline Cost]]="",Tasks[[#This Row],[_LeafTotalCost]],N(Tasks[[#This Row],[Baseline Cost]])))</f>
        <v>0</v>
      </c>
      <c r="EH58" s="41" t="n">
        <f aca="false">Tasks[[#This Row],[_LeafBudget]]*Tasks[[#This Row],[_PlannedPct]]</f>
        <v>0</v>
      </c>
      <c r="EI58" s="41" t="n">
        <f aca="false">Tasks[[#This Row],[_LeafBudget]]*Tasks[[#This Row],[_LeafProgress]]</f>
        <v>0</v>
      </c>
      <c r="EJ58" s="41" t="n">
        <f aca="false">IF(NOT(Tasks[[#This Row],[_IsLeaf]]=1),0,IF(Tasks[[#This Row],[Actual Cost]]="",Tasks[[#This Row],[_LeafTotalCost]]*Tasks[[#This Row],[_LeafProgress]],N(Tasks[[#This Row],[Actual Cost]])))</f>
        <v>0</v>
      </c>
      <c r="EK58" s="41" t="str">
        <f aca="false">IF(Tasks[[#This Row],[Task Name]]="","",LEFT(Tasks[[#This Row],[WBS]],FIND(".",Tasks[[#This Row],[WBS]]&amp;".")-1))</f>
        <v/>
      </c>
      <c r="EL58" s="41" t="str">
        <f aca="false">IF(AND(Tasks[[#This Row],[Task Name]]&lt;&gt;"",Tasks[[#This Row],[_Level]]=1),Tasks[[#This Row],[_Row]],"")</f>
        <v/>
      </c>
      <c r="EM58" s="41" t="str">
        <f aca="false">IF(AND(Tasks[[#This Row],[_IsLeaf]]=1,N(Tasks[[#This Row],[Duration]])=0),Tasks[[#This Row],[Planned Finish]]+Tasks[[#This Row],[_Row]]/100000,"")</f>
        <v/>
      </c>
      <c r="EN58" s="41" t="str">
        <f aca="false">IF(AND(Tasks[[#This Row],[_IsLeaf]]=1,Tasks[[#This Row],[_LeafProgress]]&lt;1,OR(N(Tasks[[#This Row],[Finish Var]])&gt;0,Tasks[[#This Row],[Status]]="Late Start")),MAX(0,Tasks[[#This Row],[Finish Var]])+1-Tasks[[#This Row],[_Row]]/1000000,"")</f>
        <v/>
      </c>
      <c r="EO58" s="41" t="str">
        <f aca="false">IF(AND(Tasks[[#This Row],[_IsLeaf]]=1,N(Tasks[[#This Row],[Actual Start]])=0,Tasks[[#This Row],[_ShownFcstStart]]&gt;=StatusDate,Tasks[[#This Row],[_ShownFcstStart]]&lt;=LookaheadEnd),Tasks[[#This Row],[_ShownFcstStart]]+Tasks[[#This Row],[_Row]]/100000,"")</f>
        <v/>
      </c>
      <c r="EP58" s="41" t="str">
        <f aca="false">IF(AND(Tasks[[#This Row],[_IsLeaf]]=1,Tasks[[#This Row],[_LeafProgress]]&lt;1,Tasks[[#This Row],[_ShownFcstFinish]]&gt;=StatusDate,Tasks[[#This Row],[_ShownFcstFinish]]&lt;=LookaheadEnd),Tasks[[#This Row],[_ShownFcstFinish]]+Tasks[[#This Row],[_Row]]/100000,"")</f>
        <v/>
      </c>
      <c r="EQ58" s="41" t="str">
        <f aca="false">IF(Tasks[[#This Row],[_LeafCritical]],Tasks[[#This Row],[_ShownFcstStart]]+Tasks[[#This Row],[_Row]]/100000,"")</f>
        <v/>
      </c>
      <c r="ER58" s="41" t="n">
        <f aca="false">Tasks[[#This Row],[_LeafWork]]*Tasks[[#This Row],[_LeafProgress]]</f>
        <v>0</v>
      </c>
      <c r="ES58" s="101" t="str">
        <f aca="false">IF(AND(Tasks[[#This Row],[_IsLeaf]]=1,Tasks[[#This Row],[_LeafProgress]]&gt;=1),IF(N(Tasks[[#This Row],[Actual Finish]])&gt;0,Tasks[[#This Row],[Actual Finish]],Tasks[[#This Row],[_ShownFcstFinish]]),"")</f>
        <v/>
      </c>
      <c r="ET58" s="41" t="n">
        <f aca="false">IF(Tasks[[#This Row],[_IsLeaf]]=1,N(Tasks[[#This Row],[Story Points]]),0)</f>
        <v>0</v>
      </c>
      <c r="EU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29"/>
      <c r="O59" s="29"/>
      <c r="P59" s="29"/>
      <c r="Q59" s="29"/>
      <c r="R59" s="29"/>
      <c r="S59" s="29"/>
      <c r="T59" s="30"/>
      <c r="U59" s="75"/>
      <c r="V59" s="75"/>
      <c r="W59" s="25" t="str">
        <f aca="false">IF(Tasks[[#This Row],[Task Name]]="","",IF(N(Tasks[[#This Row],[Baseline Start]])&gt;0,Tasks[[#This Row],[Baseline Start]],Tasks[[#This Row],[_CalcStart]]))</f>
        <v/>
      </c>
      <c r="X59" s="25" t="str">
        <f aca="false">IF(Tasks[[#This Row],[Task Name]]="","",IF(N(Tasks[[#This Row],[Baseline Finish]])&gt;0,Tasks[[#This Row],[Baseline Finish]],Tasks[[#This Row],[_CalcFinish]]))</f>
        <v/>
      </c>
      <c r="Y59" s="75"/>
      <c r="Z59" s="75"/>
      <c r="AA59" s="25" t="str">
        <f aca="false">IF(Tasks[[#This Row],[Task Name]]="","",IF(Tasks[[#This Row],[_IsSummary]],MIN(INDEX(Tasks[_ShownFcstStart],Tasks[[#This Row],[_Row]]+1):INDEX(Tasks[_ShownFcstStart],Tasks[[#This Row],[_Row]]+Tasks[[#This Row],[_Descendants]])),Tasks[[#This Row],[_ShownFcstStart]]))</f>
        <v/>
      </c>
      <c r="AB59" s="25" t="str">
        <f aca="false">IF(Tasks[[#This Row],[Task Name]]="","",IF(Tasks[[#This Row],[_IsSummary]],MAX(INDEX(Tasks[_ShownFcstFinish],Tasks[[#This Row],[_Row]]+1):INDEX(Tasks[_ShownFcstFinish],Tasks[[#This Row],[_Row]]+Tasks[[#This Row],[_Descendants]])),Tasks[[#This Row],[_ShownFcstFinish]]))</f>
        <v/>
      </c>
      <c r="AC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9" s="25" t="str">
        <f aca="false">IF(Tasks[[#This Row],[Task Name]]="","",IF(Tasks[[#This Row],[_IsSummary]],MIN(INDEX(Tasks[_LeafLateStart],Tasks[[#This Row],[_Row]]+1):INDEX(Tasks[_LeafLateStart],Tasks[[#This Row],[_Row]]+Tasks[[#This Row],[_Descendants]])),Tasks[[#This Row],[_LeafLateStart]]))</f>
        <v/>
      </c>
      <c r="AF59" s="25" t="str">
        <f aca="false">IF(Tasks[[#This Row],[Task Name]]="","",IF(Tasks[[#This Row],[_IsSummary]],MAX(INDEX(Tasks[_LeafLateFinish],Tasks[[#This Row],[_Row]]+1):INDEX(Tasks[_LeafLateFinish],Tasks[[#This Row],[_Row]]+Tasks[[#This Row],[_Descendants]])),Tasks[[#This Row],[_LeafLateFinish]]))</f>
        <v/>
      </c>
      <c r="AG59" s="28" t="str">
        <f aca="false">IF(Tasks[[#This Row],[Task Name]]="","",IF(Tasks[[#This Row],[_IsSummary]],MIN(INDEX(Tasks[_LeafTotalSlack],Tasks[[#This Row],[_Row]]+1):INDEX(Tasks[_LeafTotalSlack],Tasks[[#This Row],[_Row]]+Tasks[[#This Row],[_Descendants]])),Tasks[[#This Row],[_LeafTotalSlack]]))</f>
        <v/>
      </c>
      <c r="AH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9" s="28" t="str">
        <f aca="false">IF(Tasks[[#This Row],[Task Name]]="","",IF(IF(Tasks[[#This Row],[_IsSummary]],COUNTIF(INDEX(Tasks[_LeafCritical],Tasks[[#This Row],[_Row]]+1):INDEX(Tasks[_LeafCritical],Tasks[[#This Row],[_Row]]+Tasks[[#This Row],[_Descendants]]),TRUE())&gt;0,Tasks[[#This Row],[_LeafCritical]]),"Yes",""))</f>
        <v/>
      </c>
      <c r="AJ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9" s="89"/>
      <c r="AM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9" s="28" t="str">
        <f aca="false">IF(Tasks[[#This Row],[Task Name]]="","",IF(Tasks[[#This Row],[Progress]]&gt;=1,"Complete",IF(OR(N(Tasks[[#This Row],[Actual Start]])&gt;0,Tasks[[#This Row],[Progress]]&gt;0),IF(Tasks[[#This Row],[Finish Var]]&gt;0,"Behind","In Progress"),IF(Tasks[[#This Row],[Planned Start]]&lt;StatusDate,"Late Start","Not Started"))))</f>
        <v/>
      </c>
      <c r="AO59" s="30"/>
      <c r="AP59" s="89"/>
      <c r="AQ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9" s="96" t="str">
        <f aca="false">IF(Tasks[[#This Row],[Task Name]]="","",IF(Tasks[[#This Row],[_IsSummary]],SUM(INDEX(Tasks[_LeafTotalWork],Tasks[[#This Row],[_Row]]+1):INDEX(Tasks[_LeafTotalWork],Tasks[[#This Row],[_Row]]+Tasks[[#This Row],[_Descendants]])),Tasks[[#This Row],[_LeafTotalWork]]))</f>
        <v/>
      </c>
      <c r="AT59" s="97" t="str">
        <f aca="false">IF(Tasks[[#This Row],[Task Name]]="","",IF(Tasks[[#This Row],[_IsSummary]],SUM(INDEX(Tasks[_LeafTotalCost],Tasks[[#This Row],[_Row]]+1):INDEX(Tasks[_LeafTotalCost],Tasks[[#This Row],[_Row]]+Tasks[[#This Row],[_Descendants]])),Tasks[[#This Row],[_LeafTotalCost]]))</f>
        <v/>
      </c>
      <c r="AU59" s="98"/>
      <c r="AV59" s="29"/>
      <c r="AW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9" s="83"/>
      <c r="AY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9" s="30"/>
      <c r="BA59" s="25" t="str">
        <f aca="false">IF(Tasks[[#This Row],[Task Name]]="","",Tasks[[#This Row],[Forecast Start]])</f>
        <v/>
      </c>
      <c r="BB59" s="25" t="str">
        <f aca="false">IF(Tasks[[#This Row],[Task Name]]="","",Tasks[[#This Row],[Forecast Finish]])</f>
        <v/>
      </c>
      <c r="BC59" s="28" t="str">
        <f aca="false">IF(Tasks[[#This Row],[Task Name]]="","",IF(Tasks[[#This Row],[_IsSummary]],NETWORKDAYS.INTL(Tasks[[#This Row],[Forecast Start]],Tasks[[#This Row],[Forecast Finish]],WorkWeek,Holidays),N(Tasks[[#This Row],[Duration]])))</f>
        <v/>
      </c>
      <c r="BD59" s="96" t="str">
        <f aca="false">IF(Tasks[[#This Row],[Task Name]]="","",Tasks[[#This Row],[Work]])</f>
        <v/>
      </c>
      <c r="BE59" s="97" t="str">
        <f aca="false">IF(Tasks[[#This Row],[Task Name]]="","",Tasks[[#This Row],[Cost]])</f>
        <v/>
      </c>
      <c r="BF59" s="75"/>
      <c r="BG59" s="75"/>
      <c r="BH59" s="29"/>
      <c r="BI59" s="99"/>
      <c r="BJ59" s="98"/>
      <c r="BK59" s="28" t="str">
        <f aca="false">IF(OR(Tasks[[#This Row],[Task Name]]="",Tasks[[#This Row],[Baseline Duration]]=""),"",Tasks[[#This Row],[BL Source Duration]]-N(Tasks[[#This Row],[Baseline Duration]]))</f>
        <v/>
      </c>
      <c r="BL59" s="96" t="str">
        <f aca="false">IF(OR(Tasks[[#This Row],[Task Name]]="",Tasks[[#This Row],[Baseline Work]]=""),"",Tasks[[#This Row],[Work]]-N(Tasks[[#This Row],[Baseline Work]]))</f>
        <v/>
      </c>
      <c r="BM59" s="97" t="str">
        <f aca="false">IF(OR(Tasks[[#This Row],[Task Name]]="",Tasks[[#This Row],[Baseline Cost]]=""),"",Tasks[[#This Row],[Cost]]-N(Tasks[[#This Row],[Baseline Cost]]))</f>
        <v/>
      </c>
      <c r="BN59" s="97" t="str">
        <f aca="false">IF(Tasks[[#This Row],[Task Name]]="","",IF(Tasks[[#This Row],[_IsSummary]],SUM(INDEX(Tasks[_LeafBudget],Tasks[[#This Row],[_Row]]+1):INDEX(Tasks[_LeafBudget],Tasks[[#This Row],[_Row]]+Tasks[[#This Row],[_Descendants]])),Tasks[[#This Row],[_LeafBudget]]))</f>
        <v/>
      </c>
      <c r="BO59" s="97" t="str">
        <f aca="false">IF(Tasks[[#This Row],[Task Name]]="","",IF(Tasks[[#This Row],[_IsSummary]],SUM(INDEX(Tasks[_LeafPV],Tasks[[#This Row],[_Row]]+1):INDEX(Tasks[_LeafPV],Tasks[[#This Row],[_Row]]+Tasks[[#This Row],[_Descendants]])),Tasks[[#This Row],[_LeafPV]]))</f>
        <v/>
      </c>
      <c r="BP59" s="97" t="str">
        <f aca="false">IF(Tasks[[#This Row],[Task Name]]="","",IF(Tasks[[#This Row],[_IsSummary]],SUM(INDEX(Tasks[_LeafEV],Tasks[[#This Row],[_Row]]+1):INDEX(Tasks[_LeafEV],Tasks[[#This Row],[_Row]]+Tasks[[#This Row],[_Descendants]])),Tasks[[#This Row],[_LeafEV]]))</f>
        <v/>
      </c>
      <c r="BQ59" s="97" t="str">
        <f aca="false">IF(Tasks[[#This Row],[Task Name]]="","",IF(Tasks[[#This Row],[_IsSummary]],SUM(INDEX(Tasks[_LeafAC],Tasks[[#This Row],[_Row]]+1):INDEX(Tasks[_LeafAC],Tasks[[#This Row],[_Row]]+Tasks[[#This Row],[_Descendants]])),Tasks[[#This Row],[_LeafAC]]))</f>
        <v/>
      </c>
      <c r="BR59" s="41" t="str">
        <f aca="false">IF(Tasks[[#This Row],[Task Name]]="","",MAX(1,N(Tasks[[#This Row],[Level]])))</f>
        <v/>
      </c>
      <c r="BS59" s="41" t="n">
        <f aca="false">ROW()-ROW(Tasks[[#Headers],[ID]])</f>
        <v>54</v>
      </c>
      <c r="BT59" s="41" t="n">
        <f aca="false">IF(OR(Tasks[[#This Row],[Task Name]]="",Tasks[[#This Row],[_Level]]&lt;=1),0,IFERROR(LOOKUP(2,1/(Tasks[[#Headers],[_Level]]:Tasks[[#This Row],[_Level]]=Tasks[[#This Row],[_Level]]-1),ROW(Tasks[[#Headers],[_Level]]:Tasks[[#This Row],[_Level]])),0))</f>
        <v>0</v>
      </c>
      <c r="BU59" s="41" t="n">
        <f aca="false">IFERROR(N(INDEX(Tasks[_Level],Tasks[[#This Row],[_Row]]+1)),0)</f>
        <v>0</v>
      </c>
      <c r="BV59" s="100" t="b">
        <f aca="false">AND(Tasks[[#This Row],[Task Name]]&lt;&gt;"",Tasks[[#This Row],[_NextLevel]]&gt;Tasks[[#This Row],[_Level]])</f>
        <v>0</v>
      </c>
      <c r="BW59" s="41" t="n">
        <f aca="false">IF(Tasks[[#This Row],[_IsSummary]],COUNTIF(Tasks[WBS],Tasks[[#This Row],[WBS]]&amp;".*"),0)</f>
        <v>0</v>
      </c>
      <c r="BX59" s="41" t="n">
        <f aca="false">IF(AND(Tasks[[#This Row],[Task Name]]&lt;&gt;"",NOT(Tasks[[#This Row],[_IsSummary]])),1,0)</f>
        <v>0</v>
      </c>
      <c r="BY59" s="41" t="n">
        <f aca="false">IF(N(Tasks[[#This Row],[Pred1 UID]])=0,0,IFERROR(MATCH(Tasks[[#This Row],[Pred1 UID]],Tasks[UID],0),-1))</f>
        <v>0</v>
      </c>
      <c r="BZ59" s="41" t="n">
        <f aca="false">IF(N(Tasks[[#This Row],[Pred2 UID]])=0,0,IFERROR(MATCH(Tasks[[#This Row],[Pred2 UID]],Tasks[UID],0),-1))</f>
        <v>0</v>
      </c>
      <c r="CA59" s="41" t="n">
        <f aca="false">IF(N(Tasks[[#This Row],[Pred3 UID]])=0,0,IFERROR(MATCH(Tasks[[#This Row],[Pred3 UID]],Tasks[UID],0),-1))</f>
        <v>0</v>
      </c>
      <c r="CB59" s="41" t="n">
        <f aca="false">IF(N(Tasks[[#This Row],[Pred4 UID]])=0,0,IFERROR(MATCH(Tasks[[#This Row],[Pred4 UID]],Tasks[UID],0),-1))</f>
        <v>0</v>
      </c>
      <c r="CC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9" s="101" t="n">
        <f aca="false">IF(OR(Tasks[[#This Row],[_ConstraintCode]]=2,Tasks[[#This Row],[_ConstraintCode]]=3,Tasks[[#This Row],[_ConstraintCode]]=4,Tasks[[#This Row],[_ConstraintCode]]=6),Tasks[[#This Row],[_ConstraintStart]],0)</f>
        <v>0</v>
      </c>
      <c r="CF59" s="101" t="n">
        <f aca="false">IF(OR(Tasks[[#This Row],[_ConstraintCode]]=2,Tasks[[#This Row],[_ConstraintCode]]=3,Tasks[[#This Row],[_ConstraintCode]]=5,Tasks[[#This Row],[_ConstraintCode]]=7),Tasks[[#This Row],[_ConstraintStart]],2958465)</f>
        <v>2958465</v>
      </c>
      <c r="CG5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9" s="101" t="str">
        <f aca="false">IF(NOT(Tasks[[#This Row],[_IsLeaf]]=1),"",IF(N(Tasks[[#This Row],[Duration]])&lt;=0,Tasks[[#This Row],[_LeafCalcStart]],WORKDAY.INTL(Tasks[[#This Row],[_LeafCalcStart]],Tasks[[#This Row],[Duration]]-1,WorkWeek,Holidays)))</f>
        <v/>
      </c>
      <c r="CI5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9" s="41" t="n">
        <f aca="false">IF(NOT(Tasks[[#This Row],[_IsLeaf]]=1),0,IF(N(Tasks[[#This Row],[Actual Finish]])&gt;0,1,MIN(1,N(Tasks[[#This Row],[% Complete]]))))</f>
        <v>0</v>
      </c>
      <c r="CL59" s="41" t="n">
        <f aca="false">IF(OR(NOT(Tasks[[#This Row],[_IsLeaf]]=1),Tasks[[#This Row],[Resource]]=""),0,N(Tasks[[#This Row],[Duration]])*HoursPerDay*IF(Tasks[[#This Row],[Units]]="",DefaultUnits,Tasks[[#This Row],[Units]]))</f>
        <v>0</v>
      </c>
      <c r="CM59" s="41" t="n">
        <f aca="false">IF(Tasks[[#This Row],[_LeafWork]]=0,0,Tasks[[#This Row],[_LeafWork]]*IFERROR(INDEX(res_Rate,MATCH(Tasks[[#This Row],[Resource]],res_Name,0)),0))</f>
        <v>0</v>
      </c>
      <c r="CN59" s="41" t="n">
        <f aca="false">Tasks[[#This Row],[_LeafWork]]+IF(Tasks[[#This Row],[_IsLeaf]]=1,SUMIFS(asg_Work,asg_TaskUID,Tasks[[#This Row],[UID]],asg_Valid,1),0)</f>
        <v>0</v>
      </c>
      <c r="CO59" s="41" t="n">
        <f aca="false">Tasks[[#This Row],[_LeafCost]]+IF(Tasks[[#This Row],[_IsLeaf]]=1,SUMIFS(asg_Cost,asg_TaskUID,Tasks[[#This Row],[UID]],asg_Valid,1),0)</f>
        <v>0</v>
      </c>
      <c r="CP59" s="41" t="n">
        <f aca="false">IF(Tasks[[#This Row],[_LeafTotalCost]]=0,Tasks[[#This Row],[_LeafAC]],Tasks[[#This Row],[_LeafAC]]*Tasks[[#This Row],[_LeafCost]]/Tasks[[#This Row],[_LeafTotalCost]])</f>
        <v>0</v>
      </c>
      <c r="CQ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9" s="41" t="n">
        <f aca="false">IF(NOT(Tasks[[#This Row],[_IsLeaf]]=1),0,MAX(_xlfn.MAXIFS(Tasks[_Row],Tasks[Pred1 UID],Tasks[[#This Row],[UID]]),_xlfn.MAXIFS(Tasks[_Row],Tasks[Pred2 UID],Tasks[[#This Row],[UID]]),_xlfn.MAXIFS(Tasks[_Row],Tasks[Pred3 UID],Tasks[[#This Row],[UID]]),_xlfn.MAXIFS(Tasks[_Row],Tasks[Pred4 UID],Tasks[[#This Row],[UID]])))</f>
        <v>0</v>
      </c>
      <c r="CZ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9" s="101" t="str">
        <f aca="false">IF(NOT(Tasks[[#This Row],[_IsLeaf]]=1),"",IF(N(Tasks[[#This Row],[Duration]])&lt;=0,Tasks[[#This Row],[_LeafLateFinish]],WORKDAY.INTL(Tasks[[#This Row],[_LeafLateFinish]],-(Tasks[[#This Row],[Duration]]-1),WorkWeek,Holidays)))</f>
        <v/>
      </c>
      <c r="DC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9" s="100" t="b">
        <f aca="false">AND(Tasks[[#This Row],[_IsLeaf]]=1,Tasks[[#This Row],[_LeafProgress]]&lt;1,N(Tasks[[#This Row],[_LeafTotalSlack]])&lt;=CriticalSlackDays)</f>
        <v>0</v>
      </c>
      <c r="DE59" s="41" t="n">
        <f aca="false">IF(AND(Tasks[[#This Row],[_IsLeaf]]=1,Tasks[[#This Row],[_ConstraintCode]]=1,Tasks[[#This Row],[Mode]]&lt;&gt;"Manual",N(Tasks[[#This Row],[Actual Start]])=0),MAX(0,N(Tasks[[#This Row],[Free Slack]])),0)</f>
        <v>0</v>
      </c>
      <c r="DF59" s="101" t="str">
        <f aca="false">IF(NOT(Tasks[[#This Row],[_IsLeaf]]=1),"",IF(Tasks[[#This Row],[_AlapShift]]=0,Tasks[[#This Row],[_LeafCalcStart]],WORKDAY.INTL(Tasks[[#This Row],[_LeafCalcStart]],Tasks[[#This Row],[_AlapShift]],WorkWeek,Holidays)))</f>
        <v/>
      </c>
      <c r="DG59" s="101" t="str">
        <f aca="false">IF(NOT(Tasks[[#This Row],[_IsLeaf]]=1),"",IF(Tasks[[#This Row],[_AlapShift]]=0,Tasks[[#This Row],[_LeafCalcFinish]],WORKDAY.INTL(Tasks[[#This Row],[_LeafCalcFinish]],Tasks[[#This Row],[_AlapShift]],WorkWeek,Holidays)))</f>
        <v/>
      </c>
      <c r="DH59" s="101" t="str">
        <f aca="false">IF(NOT(Tasks[[#This Row],[_IsLeaf]]=1),"",IF(Tasks[[#This Row],[_AlapShift]]=0,Tasks[[#This Row],[_LeafFcstStart]],WORKDAY.INTL(Tasks[[#This Row],[_LeafFcstStart]],Tasks[[#This Row],[_AlapShift]],WorkWeek,Holidays)))</f>
        <v/>
      </c>
      <c r="DI59" s="101" t="str">
        <f aca="false">IF(NOT(Tasks[[#This Row],[_IsLeaf]]=1),"",IF(Tasks[[#This Row],[_AlapShift]]=0,Tasks[[#This Row],[_LeafFcstFinish]],WORKDAY.INTL(Tasks[[#This Row],[_LeafFcstFinish]],Tasks[[#This Row],[_AlapShift]],WorkWeek,Holidays)))</f>
        <v/>
      </c>
      <c r="DJ59" s="101" t="str">
        <f aca="false">IF(Tasks[[#This Row],[Task Name]]="","",IF(Tasks[[#This Row],[_IsSummary]],MIN(INDEX(Tasks[_ShownCalcStart],Tasks[[#This Row],[_Row]]+1):INDEX(Tasks[_ShownCalcStart],Tasks[[#This Row],[_Row]]+Tasks[[#This Row],[_Descendants]])),Tasks[[#This Row],[_ShownCalcStart]]))</f>
        <v/>
      </c>
      <c r="DK59" s="101" t="str">
        <f aca="false">IF(Tasks[[#This Row],[Task Name]]="","",IF(Tasks[[#This Row],[_IsSummary]],MAX(INDEX(Tasks[_ShownCalcFinish],Tasks[[#This Row],[_Row]]+1):INDEX(Tasks[_ShownCalcFinish],Tasks[[#This Row],[_Row]]+Tasks[[#This Row],[_Descendants]])),Tasks[[#This Row],[_ShownCalcFinish]]))</f>
        <v/>
      </c>
      <c r="D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9" s="41" t="n">
        <f aca="false">IF(AND(Tasks[[#This Row],[_IsLeaf]]=1,Tasks[[#This Row],[_LeafTotalWork]]&gt;0),NETWORKDAYS.INTL(ProjectStart,Tasks[[#This Row],[_ShownFcstStart]],WorkWeek,Holidays),0)</f>
        <v>0</v>
      </c>
      <c r="DY59" s="41" t="n">
        <f aca="false">IF(AND(Tasks[[#This Row],[_IsLeaf]]=1,Tasks[[#This Row],[_LeafTotalWork]]&gt;0),MAX(Tasks[[#This Row],[_StartWorkday]],NETWORKDAYS.INTL(ProjectStart,Tasks[[#This Row],[_ShownFcstFinish]],WorkWeek,Holidays)),0)</f>
        <v>0</v>
      </c>
      <c r="DZ59" s="41" t="n">
        <f aca="false">IF(AND(Tasks[[#This Row],[_IsLeaf]]=1,Tasks[[#This Row],[_LeafTotalWork]]&gt;0),Tasks[[#This Row],[_LeafWork]]/(Tasks[[#This Row],[_FinishWorkday]]-Tasks[[#This Row],[_StartWorkday]]+1),0)</f>
        <v>0</v>
      </c>
      <c r="EA59" s="41" t="n">
        <f aca="false">Tasks[[#This Row],[_WorkPerWorkday]]*(Tasks[[#This Row],[_StartWorkday]]-1)</f>
        <v>-0</v>
      </c>
      <c r="EB59" s="41" t="n">
        <f aca="false">IF(Tasks[[#This Row],[_IsLeaf]]=1,MAX(N(Tasks[[#This Row],[Duration]]),0.1),0)</f>
        <v>0</v>
      </c>
      <c r="EC59" s="41" t="n">
        <f aca="false">Tasks[[#This Row],[_WeightDur]]*Tasks[[#This Row],[_LeafProgress]]</f>
        <v>0</v>
      </c>
      <c r="ED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9" s="41" t="str">
        <f aca="false">IF(AND(Tasks[[#This Row],[_IsLeaf]]=1,N(Tasks[[#This Row],[Duration]])=0,Tasks[[#This Row],[_LeafProgress]]&lt;1),Tasks[[#This Row],[_ShownFcstFinish]]+Tasks[[#This Row],[_Row]]/100000,"")</f>
        <v/>
      </c>
      <c r="EF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9" s="41" t="n">
        <f aca="false">IF(NOT(Tasks[[#This Row],[_IsLeaf]]=1),0,IF(Tasks[[#This Row],[Baseline Cost]]="",Tasks[[#This Row],[_LeafTotalCost]],N(Tasks[[#This Row],[Baseline Cost]])))</f>
        <v>0</v>
      </c>
      <c r="EH59" s="41" t="n">
        <f aca="false">Tasks[[#This Row],[_LeafBudget]]*Tasks[[#This Row],[_PlannedPct]]</f>
        <v>0</v>
      </c>
      <c r="EI59" s="41" t="n">
        <f aca="false">Tasks[[#This Row],[_LeafBudget]]*Tasks[[#This Row],[_LeafProgress]]</f>
        <v>0</v>
      </c>
      <c r="EJ59" s="41" t="n">
        <f aca="false">IF(NOT(Tasks[[#This Row],[_IsLeaf]]=1),0,IF(Tasks[[#This Row],[Actual Cost]]="",Tasks[[#This Row],[_LeafTotalCost]]*Tasks[[#This Row],[_LeafProgress]],N(Tasks[[#This Row],[Actual Cost]])))</f>
        <v>0</v>
      </c>
      <c r="EK59" s="41" t="str">
        <f aca="false">IF(Tasks[[#This Row],[Task Name]]="","",LEFT(Tasks[[#This Row],[WBS]],FIND(".",Tasks[[#This Row],[WBS]]&amp;".")-1))</f>
        <v/>
      </c>
      <c r="EL59" s="41" t="str">
        <f aca="false">IF(AND(Tasks[[#This Row],[Task Name]]&lt;&gt;"",Tasks[[#This Row],[_Level]]=1),Tasks[[#This Row],[_Row]],"")</f>
        <v/>
      </c>
      <c r="EM59" s="41" t="str">
        <f aca="false">IF(AND(Tasks[[#This Row],[_IsLeaf]]=1,N(Tasks[[#This Row],[Duration]])=0),Tasks[[#This Row],[Planned Finish]]+Tasks[[#This Row],[_Row]]/100000,"")</f>
        <v/>
      </c>
      <c r="EN59" s="41" t="str">
        <f aca="false">IF(AND(Tasks[[#This Row],[_IsLeaf]]=1,Tasks[[#This Row],[_LeafProgress]]&lt;1,OR(N(Tasks[[#This Row],[Finish Var]])&gt;0,Tasks[[#This Row],[Status]]="Late Start")),MAX(0,Tasks[[#This Row],[Finish Var]])+1-Tasks[[#This Row],[_Row]]/1000000,"")</f>
        <v/>
      </c>
      <c r="EO59" s="41" t="str">
        <f aca="false">IF(AND(Tasks[[#This Row],[_IsLeaf]]=1,N(Tasks[[#This Row],[Actual Start]])=0,Tasks[[#This Row],[_ShownFcstStart]]&gt;=StatusDate,Tasks[[#This Row],[_ShownFcstStart]]&lt;=LookaheadEnd),Tasks[[#This Row],[_ShownFcstStart]]+Tasks[[#This Row],[_Row]]/100000,"")</f>
        <v/>
      </c>
      <c r="EP59" s="41" t="str">
        <f aca="false">IF(AND(Tasks[[#This Row],[_IsLeaf]]=1,Tasks[[#This Row],[_LeafProgress]]&lt;1,Tasks[[#This Row],[_ShownFcstFinish]]&gt;=StatusDate,Tasks[[#This Row],[_ShownFcstFinish]]&lt;=LookaheadEnd),Tasks[[#This Row],[_ShownFcstFinish]]+Tasks[[#This Row],[_Row]]/100000,"")</f>
        <v/>
      </c>
      <c r="EQ59" s="41" t="str">
        <f aca="false">IF(Tasks[[#This Row],[_LeafCritical]],Tasks[[#This Row],[_ShownFcstStart]]+Tasks[[#This Row],[_Row]]/100000,"")</f>
        <v/>
      </c>
      <c r="ER59" s="41" t="n">
        <f aca="false">Tasks[[#This Row],[_LeafWork]]*Tasks[[#This Row],[_LeafProgress]]</f>
        <v>0</v>
      </c>
      <c r="ES59" s="101" t="str">
        <f aca="false">IF(AND(Tasks[[#This Row],[_IsLeaf]]=1,Tasks[[#This Row],[_LeafProgress]]&gt;=1),IF(N(Tasks[[#This Row],[Actual Finish]])&gt;0,Tasks[[#This Row],[Actual Finish]],Tasks[[#This Row],[_ShownFcstFinish]]),"")</f>
        <v/>
      </c>
      <c r="ET59" s="41" t="n">
        <f aca="false">IF(Tasks[[#This Row],[_IsLeaf]]=1,N(Tasks[[#This Row],[Story Points]]),0)</f>
        <v>0</v>
      </c>
      <c r="EU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29"/>
      <c r="O60" s="29"/>
      <c r="P60" s="29"/>
      <c r="Q60" s="29"/>
      <c r="R60" s="29"/>
      <c r="S60" s="29"/>
      <c r="T60" s="30"/>
      <c r="U60" s="75"/>
      <c r="V60" s="75"/>
      <c r="W60" s="25" t="str">
        <f aca="false">IF(Tasks[[#This Row],[Task Name]]="","",IF(N(Tasks[[#This Row],[Baseline Start]])&gt;0,Tasks[[#This Row],[Baseline Start]],Tasks[[#This Row],[_CalcStart]]))</f>
        <v/>
      </c>
      <c r="X60" s="25" t="str">
        <f aca="false">IF(Tasks[[#This Row],[Task Name]]="","",IF(N(Tasks[[#This Row],[Baseline Finish]])&gt;0,Tasks[[#This Row],[Baseline Finish]],Tasks[[#This Row],[_CalcFinish]]))</f>
        <v/>
      </c>
      <c r="Y60" s="75"/>
      <c r="Z60" s="75"/>
      <c r="AA60" s="25" t="str">
        <f aca="false">IF(Tasks[[#This Row],[Task Name]]="","",IF(Tasks[[#This Row],[_IsSummary]],MIN(INDEX(Tasks[_ShownFcstStart],Tasks[[#This Row],[_Row]]+1):INDEX(Tasks[_ShownFcstStart],Tasks[[#This Row],[_Row]]+Tasks[[#This Row],[_Descendants]])),Tasks[[#This Row],[_ShownFcstStart]]))</f>
        <v/>
      </c>
      <c r="AB60" s="25" t="str">
        <f aca="false">IF(Tasks[[#This Row],[Task Name]]="","",IF(Tasks[[#This Row],[_IsSummary]],MAX(INDEX(Tasks[_ShownFcstFinish],Tasks[[#This Row],[_Row]]+1):INDEX(Tasks[_ShownFcstFinish],Tasks[[#This Row],[_Row]]+Tasks[[#This Row],[_Descendants]])),Tasks[[#This Row],[_ShownFcstFinish]]))</f>
        <v/>
      </c>
      <c r="AC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0" s="25" t="str">
        <f aca="false">IF(Tasks[[#This Row],[Task Name]]="","",IF(Tasks[[#This Row],[_IsSummary]],MIN(INDEX(Tasks[_LeafLateStart],Tasks[[#This Row],[_Row]]+1):INDEX(Tasks[_LeafLateStart],Tasks[[#This Row],[_Row]]+Tasks[[#This Row],[_Descendants]])),Tasks[[#This Row],[_LeafLateStart]]))</f>
        <v/>
      </c>
      <c r="AF60" s="25" t="str">
        <f aca="false">IF(Tasks[[#This Row],[Task Name]]="","",IF(Tasks[[#This Row],[_IsSummary]],MAX(INDEX(Tasks[_LeafLateFinish],Tasks[[#This Row],[_Row]]+1):INDEX(Tasks[_LeafLateFinish],Tasks[[#This Row],[_Row]]+Tasks[[#This Row],[_Descendants]])),Tasks[[#This Row],[_LeafLateFinish]]))</f>
        <v/>
      </c>
      <c r="AG60" s="28" t="str">
        <f aca="false">IF(Tasks[[#This Row],[Task Name]]="","",IF(Tasks[[#This Row],[_IsSummary]],MIN(INDEX(Tasks[_LeafTotalSlack],Tasks[[#This Row],[_Row]]+1):INDEX(Tasks[_LeafTotalSlack],Tasks[[#This Row],[_Row]]+Tasks[[#This Row],[_Descendants]])),Tasks[[#This Row],[_LeafTotalSlack]]))</f>
        <v/>
      </c>
      <c r="AH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0" s="28" t="str">
        <f aca="false">IF(Tasks[[#This Row],[Task Name]]="","",IF(IF(Tasks[[#This Row],[_IsSummary]],COUNTIF(INDEX(Tasks[_LeafCritical],Tasks[[#This Row],[_Row]]+1):INDEX(Tasks[_LeafCritical],Tasks[[#This Row],[_Row]]+Tasks[[#This Row],[_Descendants]]),TRUE())&gt;0,Tasks[[#This Row],[_LeafCritical]]),"Yes",""))</f>
        <v/>
      </c>
      <c r="AJ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0" s="89"/>
      <c r="AM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0" s="28" t="str">
        <f aca="false">IF(Tasks[[#This Row],[Task Name]]="","",IF(Tasks[[#This Row],[Progress]]&gt;=1,"Complete",IF(OR(N(Tasks[[#This Row],[Actual Start]])&gt;0,Tasks[[#This Row],[Progress]]&gt;0),IF(Tasks[[#This Row],[Finish Var]]&gt;0,"Behind","In Progress"),IF(Tasks[[#This Row],[Planned Start]]&lt;StatusDate,"Late Start","Not Started"))))</f>
        <v/>
      </c>
      <c r="AO60" s="30"/>
      <c r="AP60" s="89"/>
      <c r="AQ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0" s="96" t="str">
        <f aca="false">IF(Tasks[[#This Row],[Task Name]]="","",IF(Tasks[[#This Row],[_IsSummary]],SUM(INDEX(Tasks[_LeafTotalWork],Tasks[[#This Row],[_Row]]+1):INDEX(Tasks[_LeafTotalWork],Tasks[[#This Row],[_Row]]+Tasks[[#This Row],[_Descendants]])),Tasks[[#This Row],[_LeafTotalWork]]))</f>
        <v/>
      </c>
      <c r="AT60" s="97" t="str">
        <f aca="false">IF(Tasks[[#This Row],[Task Name]]="","",IF(Tasks[[#This Row],[_IsSummary]],SUM(INDEX(Tasks[_LeafTotalCost],Tasks[[#This Row],[_Row]]+1):INDEX(Tasks[_LeafTotalCost],Tasks[[#This Row],[_Row]]+Tasks[[#This Row],[_Descendants]])),Tasks[[#This Row],[_LeafTotalCost]]))</f>
        <v/>
      </c>
      <c r="AU60" s="98"/>
      <c r="AV60" s="29"/>
      <c r="AW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0" s="83"/>
      <c r="AY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0" s="30"/>
      <c r="BA60" s="25" t="str">
        <f aca="false">IF(Tasks[[#This Row],[Task Name]]="","",Tasks[[#This Row],[Forecast Start]])</f>
        <v/>
      </c>
      <c r="BB60" s="25" t="str">
        <f aca="false">IF(Tasks[[#This Row],[Task Name]]="","",Tasks[[#This Row],[Forecast Finish]])</f>
        <v/>
      </c>
      <c r="BC60" s="28" t="str">
        <f aca="false">IF(Tasks[[#This Row],[Task Name]]="","",IF(Tasks[[#This Row],[_IsSummary]],NETWORKDAYS.INTL(Tasks[[#This Row],[Forecast Start]],Tasks[[#This Row],[Forecast Finish]],WorkWeek,Holidays),N(Tasks[[#This Row],[Duration]])))</f>
        <v/>
      </c>
      <c r="BD60" s="96" t="str">
        <f aca="false">IF(Tasks[[#This Row],[Task Name]]="","",Tasks[[#This Row],[Work]])</f>
        <v/>
      </c>
      <c r="BE60" s="97" t="str">
        <f aca="false">IF(Tasks[[#This Row],[Task Name]]="","",Tasks[[#This Row],[Cost]])</f>
        <v/>
      </c>
      <c r="BF60" s="75"/>
      <c r="BG60" s="75"/>
      <c r="BH60" s="29"/>
      <c r="BI60" s="99"/>
      <c r="BJ60" s="98"/>
      <c r="BK60" s="28" t="str">
        <f aca="false">IF(OR(Tasks[[#This Row],[Task Name]]="",Tasks[[#This Row],[Baseline Duration]]=""),"",Tasks[[#This Row],[BL Source Duration]]-N(Tasks[[#This Row],[Baseline Duration]]))</f>
        <v/>
      </c>
      <c r="BL60" s="96" t="str">
        <f aca="false">IF(OR(Tasks[[#This Row],[Task Name]]="",Tasks[[#This Row],[Baseline Work]]=""),"",Tasks[[#This Row],[Work]]-N(Tasks[[#This Row],[Baseline Work]]))</f>
        <v/>
      </c>
      <c r="BM60" s="97" t="str">
        <f aca="false">IF(OR(Tasks[[#This Row],[Task Name]]="",Tasks[[#This Row],[Baseline Cost]]=""),"",Tasks[[#This Row],[Cost]]-N(Tasks[[#This Row],[Baseline Cost]]))</f>
        <v/>
      </c>
      <c r="BN60" s="97" t="str">
        <f aca="false">IF(Tasks[[#This Row],[Task Name]]="","",IF(Tasks[[#This Row],[_IsSummary]],SUM(INDEX(Tasks[_LeafBudget],Tasks[[#This Row],[_Row]]+1):INDEX(Tasks[_LeafBudget],Tasks[[#This Row],[_Row]]+Tasks[[#This Row],[_Descendants]])),Tasks[[#This Row],[_LeafBudget]]))</f>
        <v/>
      </c>
      <c r="BO60" s="97" t="str">
        <f aca="false">IF(Tasks[[#This Row],[Task Name]]="","",IF(Tasks[[#This Row],[_IsSummary]],SUM(INDEX(Tasks[_LeafPV],Tasks[[#This Row],[_Row]]+1):INDEX(Tasks[_LeafPV],Tasks[[#This Row],[_Row]]+Tasks[[#This Row],[_Descendants]])),Tasks[[#This Row],[_LeafPV]]))</f>
        <v/>
      </c>
      <c r="BP60" s="97" t="str">
        <f aca="false">IF(Tasks[[#This Row],[Task Name]]="","",IF(Tasks[[#This Row],[_IsSummary]],SUM(INDEX(Tasks[_LeafEV],Tasks[[#This Row],[_Row]]+1):INDEX(Tasks[_LeafEV],Tasks[[#This Row],[_Row]]+Tasks[[#This Row],[_Descendants]])),Tasks[[#This Row],[_LeafEV]]))</f>
        <v/>
      </c>
      <c r="BQ60" s="97" t="str">
        <f aca="false">IF(Tasks[[#This Row],[Task Name]]="","",IF(Tasks[[#This Row],[_IsSummary]],SUM(INDEX(Tasks[_LeafAC],Tasks[[#This Row],[_Row]]+1):INDEX(Tasks[_LeafAC],Tasks[[#This Row],[_Row]]+Tasks[[#This Row],[_Descendants]])),Tasks[[#This Row],[_LeafAC]]))</f>
        <v/>
      </c>
      <c r="BR60" s="41" t="str">
        <f aca="false">IF(Tasks[[#This Row],[Task Name]]="","",MAX(1,N(Tasks[[#This Row],[Level]])))</f>
        <v/>
      </c>
      <c r="BS60" s="41" t="n">
        <f aca="false">ROW()-ROW(Tasks[[#Headers],[ID]])</f>
        <v>55</v>
      </c>
      <c r="BT60" s="41" t="n">
        <f aca="false">IF(OR(Tasks[[#This Row],[Task Name]]="",Tasks[[#This Row],[_Level]]&lt;=1),0,IFERROR(LOOKUP(2,1/(Tasks[[#Headers],[_Level]]:Tasks[[#This Row],[_Level]]=Tasks[[#This Row],[_Level]]-1),ROW(Tasks[[#Headers],[_Level]]:Tasks[[#This Row],[_Level]])),0))</f>
        <v>0</v>
      </c>
      <c r="BU60" s="41" t="n">
        <f aca="false">IFERROR(N(INDEX(Tasks[_Level],Tasks[[#This Row],[_Row]]+1)),0)</f>
        <v>0</v>
      </c>
      <c r="BV60" s="100" t="b">
        <f aca="false">AND(Tasks[[#This Row],[Task Name]]&lt;&gt;"",Tasks[[#This Row],[_NextLevel]]&gt;Tasks[[#This Row],[_Level]])</f>
        <v>0</v>
      </c>
      <c r="BW60" s="41" t="n">
        <f aca="false">IF(Tasks[[#This Row],[_IsSummary]],COUNTIF(Tasks[WBS],Tasks[[#This Row],[WBS]]&amp;".*"),0)</f>
        <v>0</v>
      </c>
      <c r="BX60" s="41" t="n">
        <f aca="false">IF(AND(Tasks[[#This Row],[Task Name]]&lt;&gt;"",NOT(Tasks[[#This Row],[_IsSummary]])),1,0)</f>
        <v>0</v>
      </c>
      <c r="BY60" s="41" t="n">
        <f aca="false">IF(N(Tasks[[#This Row],[Pred1 UID]])=0,0,IFERROR(MATCH(Tasks[[#This Row],[Pred1 UID]],Tasks[UID],0),-1))</f>
        <v>0</v>
      </c>
      <c r="BZ60" s="41" t="n">
        <f aca="false">IF(N(Tasks[[#This Row],[Pred2 UID]])=0,0,IFERROR(MATCH(Tasks[[#This Row],[Pred2 UID]],Tasks[UID],0),-1))</f>
        <v>0</v>
      </c>
      <c r="CA60" s="41" t="n">
        <f aca="false">IF(N(Tasks[[#This Row],[Pred3 UID]])=0,0,IFERROR(MATCH(Tasks[[#This Row],[Pred3 UID]],Tasks[UID],0),-1))</f>
        <v>0</v>
      </c>
      <c r="CB60" s="41" t="n">
        <f aca="false">IF(N(Tasks[[#This Row],[Pred4 UID]])=0,0,IFERROR(MATCH(Tasks[[#This Row],[Pred4 UID]],Tasks[UID],0),-1))</f>
        <v>0</v>
      </c>
      <c r="CC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0" s="101" t="n">
        <f aca="false">IF(OR(Tasks[[#This Row],[_ConstraintCode]]=2,Tasks[[#This Row],[_ConstraintCode]]=3,Tasks[[#This Row],[_ConstraintCode]]=4,Tasks[[#This Row],[_ConstraintCode]]=6),Tasks[[#This Row],[_ConstraintStart]],0)</f>
        <v>0</v>
      </c>
      <c r="CF60" s="101" t="n">
        <f aca="false">IF(OR(Tasks[[#This Row],[_ConstraintCode]]=2,Tasks[[#This Row],[_ConstraintCode]]=3,Tasks[[#This Row],[_ConstraintCode]]=5,Tasks[[#This Row],[_ConstraintCode]]=7),Tasks[[#This Row],[_ConstraintStart]],2958465)</f>
        <v>2958465</v>
      </c>
      <c r="CG6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0" s="101" t="str">
        <f aca="false">IF(NOT(Tasks[[#This Row],[_IsLeaf]]=1),"",IF(N(Tasks[[#This Row],[Duration]])&lt;=0,Tasks[[#This Row],[_LeafCalcStart]],WORKDAY.INTL(Tasks[[#This Row],[_LeafCalcStart]],Tasks[[#This Row],[Duration]]-1,WorkWeek,Holidays)))</f>
        <v/>
      </c>
      <c r="CI6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0" s="41" t="n">
        <f aca="false">IF(NOT(Tasks[[#This Row],[_IsLeaf]]=1),0,IF(N(Tasks[[#This Row],[Actual Finish]])&gt;0,1,MIN(1,N(Tasks[[#This Row],[% Complete]]))))</f>
        <v>0</v>
      </c>
      <c r="CL60" s="41" t="n">
        <f aca="false">IF(OR(NOT(Tasks[[#This Row],[_IsLeaf]]=1),Tasks[[#This Row],[Resource]]=""),0,N(Tasks[[#This Row],[Duration]])*HoursPerDay*IF(Tasks[[#This Row],[Units]]="",DefaultUnits,Tasks[[#This Row],[Units]]))</f>
        <v>0</v>
      </c>
      <c r="CM60" s="41" t="n">
        <f aca="false">IF(Tasks[[#This Row],[_LeafWork]]=0,0,Tasks[[#This Row],[_LeafWork]]*IFERROR(INDEX(res_Rate,MATCH(Tasks[[#This Row],[Resource]],res_Name,0)),0))</f>
        <v>0</v>
      </c>
      <c r="CN60" s="41" t="n">
        <f aca="false">Tasks[[#This Row],[_LeafWork]]+IF(Tasks[[#This Row],[_IsLeaf]]=1,SUMIFS(asg_Work,asg_TaskUID,Tasks[[#This Row],[UID]],asg_Valid,1),0)</f>
        <v>0</v>
      </c>
      <c r="CO60" s="41" t="n">
        <f aca="false">Tasks[[#This Row],[_LeafCost]]+IF(Tasks[[#This Row],[_IsLeaf]]=1,SUMIFS(asg_Cost,asg_TaskUID,Tasks[[#This Row],[UID]],asg_Valid,1),0)</f>
        <v>0</v>
      </c>
      <c r="CP60" s="41" t="n">
        <f aca="false">IF(Tasks[[#This Row],[_LeafTotalCost]]=0,Tasks[[#This Row],[_LeafAC]],Tasks[[#This Row],[_LeafAC]]*Tasks[[#This Row],[_LeafCost]]/Tasks[[#This Row],[_LeafTotalCost]])</f>
        <v>0</v>
      </c>
      <c r="CQ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0" s="41" t="n">
        <f aca="false">IF(NOT(Tasks[[#This Row],[_IsLeaf]]=1),0,MAX(_xlfn.MAXIFS(Tasks[_Row],Tasks[Pred1 UID],Tasks[[#This Row],[UID]]),_xlfn.MAXIFS(Tasks[_Row],Tasks[Pred2 UID],Tasks[[#This Row],[UID]]),_xlfn.MAXIFS(Tasks[_Row],Tasks[Pred3 UID],Tasks[[#This Row],[UID]]),_xlfn.MAXIFS(Tasks[_Row],Tasks[Pred4 UID],Tasks[[#This Row],[UID]])))</f>
        <v>0</v>
      </c>
      <c r="CZ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0" s="101" t="str">
        <f aca="false">IF(NOT(Tasks[[#This Row],[_IsLeaf]]=1),"",IF(N(Tasks[[#This Row],[Duration]])&lt;=0,Tasks[[#This Row],[_LeafLateFinish]],WORKDAY.INTL(Tasks[[#This Row],[_LeafLateFinish]],-(Tasks[[#This Row],[Duration]]-1),WorkWeek,Holidays)))</f>
        <v/>
      </c>
      <c r="DC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0" s="100" t="b">
        <f aca="false">AND(Tasks[[#This Row],[_IsLeaf]]=1,Tasks[[#This Row],[_LeafProgress]]&lt;1,N(Tasks[[#This Row],[_LeafTotalSlack]])&lt;=CriticalSlackDays)</f>
        <v>0</v>
      </c>
      <c r="DE60" s="41" t="n">
        <f aca="false">IF(AND(Tasks[[#This Row],[_IsLeaf]]=1,Tasks[[#This Row],[_ConstraintCode]]=1,Tasks[[#This Row],[Mode]]&lt;&gt;"Manual",N(Tasks[[#This Row],[Actual Start]])=0),MAX(0,N(Tasks[[#This Row],[Free Slack]])),0)</f>
        <v>0</v>
      </c>
      <c r="DF60" s="101" t="str">
        <f aca="false">IF(NOT(Tasks[[#This Row],[_IsLeaf]]=1),"",IF(Tasks[[#This Row],[_AlapShift]]=0,Tasks[[#This Row],[_LeafCalcStart]],WORKDAY.INTL(Tasks[[#This Row],[_LeafCalcStart]],Tasks[[#This Row],[_AlapShift]],WorkWeek,Holidays)))</f>
        <v/>
      </c>
      <c r="DG60" s="101" t="str">
        <f aca="false">IF(NOT(Tasks[[#This Row],[_IsLeaf]]=1),"",IF(Tasks[[#This Row],[_AlapShift]]=0,Tasks[[#This Row],[_LeafCalcFinish]],WORKDAY.INTL(Tasks[[#This Row],[_LeafCalcFinish]],Tasks[[#This Row],[_AlapShift]],WorkWeek,Holidays)))</f>
        <v/>
      </c>
      <c r="DH60" s="101" t="str">
        <f aca="false">IF(NOT(Tasks[[#This Row],[_IsLeaf]]=1),"",IF(Tasks[[#This Row],[_AlapShift]]=0,Tasks[[#This Row],[_LeafFcstStart]],WORKDAY.INTL(Tasks[[#This Row],[_LeafFcstStart]],Tasks[[#This Row],[_AlapShift]],WorkWeek,Holidays)))</f>
        <v/>
      </c>
      <c r="DI60" s="101" t="str">
        <f aca="false">IF(NOT(Tasks[[#This Row],[_IsLeaf]]=1),"",IF(Tasks[[#This Row],[_AlapShift]]=0,Tasks[[#This Row],[_LeafFcstFinish]],WORKDAY.INTL(Tasks[[#This Row],[_LeafFcstFinish]],Tasks[[#This Row],[_AlapShift]],WorkWeek,Holidays)))</f>
        <v/>
      </c>
      <c r="DJ60" s="101" t="str">
        <f aca="false">IF(Tasks[[#This Row],[Task Name]]="","",IF(Tasks[[#This Row],[_IsSummary]],MIN(INDEX(Tasks[_ShownCalcStart],Tasks[[#This Row],[_Row]]+1):INDEX(Tasks[_ShownCalcStart],Tasks[[#This Row],[_Row]]+Tasks[[#This Row],[_Descendants]])),Tasks[[#This Row],[_ShownCalcStart]]))</f>
        <v/>
      </c>
      <c r="DK60" s="101" t="str">
        <f aca="false">IF(Tasks[[#This Row],[Task Name]]="","",IF(Tasks[[#This Row],[_IsSummary]],MAX(INDEX(Tasks[_ShownCalcFinish],Tasks[[#This Row],[_Row]]+1):INDEX(Tasks[_ShownCalcFinish],Tasks[[#This Row],[_Row]]+Tasks[[#This Row],[_Descendants]])),Tasks[[#This Row],[_ShownCalcFinish]]))</f>
        <v/>
      </c>
      <c r="D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0" s="41" t="n">
        <f aca="false">IF(AND(Tasks[[#This Row],[_IsLeaf]]=1,Tasks[[#This Row],[_LeafTotalWork]]&gt;0),NETWORKDAYS.INTL(ProjectStart,Tasks[[#This Row],[_ShownFcstStart]],WorkWeek,Holidays),0)</f>
        <v>0</v>
      </c>
      <c r="DY60" s="41" t="n">
        <f aca="false">IF(AND(Tasks[[#This Row],[_IsLeaf]]=1,Tasks[[#This Row],[_LeafTotalWork]]&gt;0),MAX(Tasks[[#This Row],[_StartWorkday]],NETWORKDAYS.INTL(ProjectStart,Tasks[[#This Row],[_ShownFcstFinish]],WorkWeek,Holidays)),0)</f>
        <v>0</v>
      </c>
      <c r="DZ60" s="41" t="n">
        <f aca="false">IF(AND(Tasks[[#This Row],[_IsLeaf]]=1,Tasks[[#This Row],[_LeafTotalWork]]&gt;0),Tasks[[#This Row],[_LeafWork]]/(Tasks[[#This Row],[_FinishWorkday]]-Tasks[[#This Row],[_StartWorkday]]+1),0)</f>
        <v>0</v>
      </c>
      <c r="EA60" s="41" t="n">
        <f aca="false">Tasks[[#This Row],[_WorkPerWorkday]]*(Tasks[[#This Row],[_StartWorkday]]-1)</f>
        <v>-0</v>
      </c>
      <c r="EB60" s="41" t="n">
        <f aca="false">IF(Tasks[[#This Row],[_IsLeaf]]=1,MAX(N(Tasks[[#This Row],[Duration]]),0.1),0)</f>
        <v>0</v>
      </c>
      <c r="EC60" s="41" t="n">
        <f aca="false">Tasks[[#This Row],[_WeightDur]]*Tasks[[#This Row],[_LeafProgress]]</f>
        <v>0</v>
      </c>
      <c r="ED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0" s="41" t="str">
        <f aca="false">IF(AND(Tasks[[#This Row],[_IsLeaf]]=1,N(Tasks[[#This Row],[Duration]])=0,Tasks[[#This Row],[_LeafProgress]]&lt;1),Tasks[[#This Row],[_ShownFcstFinish]]+Tasks[[#This Row],[_Row]]/100000,"")</f>
        <v/>
      </c>
      <c r="EF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0" s="41" t="n">
        <f aca="false">IF(NOT(Tasks[[#This Row],[_IsLeaf]]=1),0,IF(Tasks[[#This Row],[Baseline Cost]]="",Tasks[[#This Row],[_LeafTotalCost]],N(Tasks[[#This Row],[Baseline Cost]])))</f>
        <v>0</v>
      </c>
      <c r="EH60" s="41" t="n">
        <f aca="false">Tasks[[#This Row],[_LeafBudget]]*Tasks[[#This Row],[_PlannedPct]]</f>
        <v>0</v>
      </c>
      <c r="EI60" s="41" t="n">
        <f aca="false">Tasks[[#This Row],[_LeafBudget]]*Tasks[[#This Row],[_LeafProgress]]</f>
        <v>0</v>
      </c>
      <c r="EJ60" s="41" t="n">
        <f aca="false">IF(NOT(Tasks[[#This Row],[_IsLeaf]]=1),0,IF(Tasks[[#This Row],[Actual Cost]]="",Tasks[[#This Row],[_LeafTotalCost]]*Tasks[[#This Row],[_LeafProgress]],N(Tasks[[#This Row],[Actual Cost]])))</f>
        <v>0</v>
      </c>
      <c r="EK60" s="41" t="str">
        <f aca="false">IF(Tasks[[#This Row],[Task Name]]="","",LEFT(Tasks[[#This Row],[WBS]],FIND(".",Tasks[[#This Row],[WBS]]&amp;".")-1))</f>
        <v/>
      </c>
      <c r="EL60" s="41" t="str">
        <f aca="false">IF(AND(Tasks[[#This Row],[Task Name]]&lt;&gt;"",Tasks[[#This Row],[_Level]]=1),Tasks[[#This Row],[_Row]],"")</f>
        <v/>
      </c>
      <c r="EM60" s="41" t="str">
        <f aca="false">IF(AND(Tasks[[#This Row],[_IsLeaf]]=1,N(Tasks[[#This Row],[Duration]])=0),Tasks[[#This Row],[Planned Finish]]+Tasks[[#This Row],[_Row]]/100000,"")</f>
        <v/>
      </c>
      <c r="EN60" s="41" t="str">
        <f aca="false">IF(AND(Tasks[[#This Row],[_IsLeaf]]=1,Tasks[[#This Row],[_LeafProgress]]&lt;1,OR(N(Tasks[[#This Row],[Finish Var]])&gt;0,Tasks[[#This Row],[Status]]="Late Start")),MAX(0,Tasks[[#This Row],[Finish Var]])+1-Tasks[[#This Row],[_Row]]/1000000,"")</f>
        <v/>
      </c>
      <c r="EO60" s="41" t="str">
        <f aca="false">IF(AND(Tasks[[#This Row],[_IsLeaf]]=1,N(Tasks[[#This Row],[Actual Start]])=0,Tasks[[#This Row],[_ShownFcstStart]]&gt;=StatusDate,Tasks[[#This Row],[_ShownFcstStart]]&lt;=LookaheadEnd),Tasks[[#This Row],[_ShownFcstStart]]+Tasks[[#This Row],[_Row]]/100000,"")</f>
        <v/>
      </c>
      <c r="EP60" s="41" t="str">
        <f aca="false">IF(AND(Tasks[[#This Row],[_IsLeaf]]=1,Tasks[[#This Row],[_LeafProgress]]&lt;1,Tasks[[#This Row],[_ShownFcstFinish]]&gt;=StatusDate,Tasks[[#This Row],[_ShownFcstFinish]]&lt;=LookaheadEnd),Tasks[[#This Row],[_ShownFcstFinish]]+Tasks[[#This Row],[_Row]]/100000,"")</f>
        <v/>
      </c>
      <c r="EQ60" s="41" t="str">
        <f aca="false">IF(Tasks[[#This Row],[_LeafCritical]],Tasks[[#This Row],[_ShownFcstStart]]+Tasks[[#This Row],[_Row]]/100000,"")</f>
        <v/>
      </c>
      <c r="ER60" s="41" t="n">
        <f aca="false">Tasks[[#This Row],[_LeafWork]]*Tasks[[#This Row],[_LeafProgress]]</f>
        <v>0</v>
      </c>
      <c r="ES60" s="101" t="str">
        <f aca="false">IF(AND(Tasks[[#This Row],[_IsLeaf]]=1,Tasks[[#This Row],[_LeafProgress]]&gt;=1),IF(N(Tasks[[#This Row],[Actual Finish]])&gt;0,Tasks[[#This Row],[Actual Finish]],Tasks[[#This Row],[_ShownFcstFinish]]),"")</f>
        <v/>
      </c>
      <c r="ET60" s="41" t="n">
        <f aca="false">IF(Tasks[[#This Row],[_IsLeaf]]=1,N(Tasks[[#This Row],[Story Points]]),0)</f>
        <v>0</v>
      </c>
      <c r="EU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29"/>
      <c r="O61" s="29"/>
      <c r="P61" s="29"/>
      <c r="Q61" s="29"/>
      <c r="R61" s="29"/>
      <c r="S61" s="29"/>
      <c r="T61" s="30"/>
      <c r="U61" s="75"/>
      <c r="V61" s="75"/>
      <c r="W61" s="25" t="str">
        <f aca="false">IF(Tasks[[#This Row],[Task Name]]="","",IF(N(Tasks[[#This Row],[Baseline Start]])&gt;0,Tasks[[#This Row],[Baseline Start]],Tasks[[#This Row],[_CalcStart]]))</f>
        <v/>
      </c>
      <c r="X61" s="25" t="str">
        <f aca="false">IF(Tasks[[#This Row],[Task Name]]="","",IF(N(Tasks[[#This Row],[Baseline Finish]])&gt;0,Tasks[[#This Row],[Baseline Finish]],Tasks[[#This Row],[_CalcFinish]]))</f>
        <v/>
      </c>
      <c r="Y61" s="75"/>
      <c r="Z61" s="75"/>
      <c r="AA61" s="25" t="str">
        <f aca="false">IF(Tasks[[#This Row],[Task Name]]="","",IF(Tasks[[#This Row],[_IsSummary]],MIN(INDEX(Tasks[_ShownFcstStart],Tasks[[#This Row],[_Row]]+1):INDEX(Tasks[_ShownFcstStart],Tasks[[#This Row],[_Row]]+Tasks[[#This Row],[_Descendants]])),Tasks[[#This Row],[_ShownFcstStart]]))</f>
        <v/>
      </c>
      <c r="AB61" s="25" t="str">
        <f aca="false">IF(Tasks[[#This Row],[Task Name]]="","",IF(Tasks[[#This Row],[_IsSummary]],MAX(INDEX(Tasks[_ShownFcstFinish],Tasks[[#This Row],[_Row]]+1):INDEX(Tasks[_ShownFcstFinish],Tasks[[#This Row],[_Row]]+Tasks[[#This Row],[_Descendants]])),Tasks[[#This Row],[_ShownFcstFinish]]))</f>
        <v/>
      </c>
      <c r="AC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1" s="25" t="str">
        <f aca="false">IF(Tasks[[#This Row],[Task Name]]="","",IF(Tasks[[#This Row],[_IsSummary]],MIN(INDEX(Tasks[_LeafLateStart],Tasks[[#This Row],[_Row]]+1):INDEX(Tasks[_LeafLateStart],Tasks[[#This Row],[_Row]]+Tasks[[#This Row],[_Descendants]])),Tasks[[#This Row],[_LeafLateStart]]))</f>
        <v/>
      </c>
      <c r="AF61" s="25" t="str">
        <f aca="false">IF(Tasks[[#This Row],[Task Name]]="","",IF(Tasks[[#This Row],[_IsSummary]],MAX(INDEX(Tasks[_LeafLateFinish],Tasks[[#This Row],[_Row]]+1):INDEX(Tasks[_LeafLateFinish],Tasks[[#This Row],[_Row]]+Tasks[[#This Row],[_Descendants]])),Tasks[[#This Row],[_LeafLateFinish]]))</f>
        <v/>
      </c>
      <c r="AG61" s="28" t="str">
        <f aca="false">IF(Tasks[[#This Row],[Task Name]]="","",IF(Tasks[[#This Row],[_IsSummary]],MIN(INDEX(Tasks[_LeafTotalSlack],Tasks[[#This Row],[_Row]]+1):INDEX(Tasks[_LeafTotalSlack],Tasks[[#This Row],[_Row]]+Tasks[[#This Row],[_Descendants]])),Tasks[[#This Row],[_LeafTotalSlack]]))</f>
        <v/>
      </c>
      <c r="AH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1" s="28" t="str">
        <f aca="false">IF(Tasks[[#This Row],[Task Name]]="","",IF(IF(Tasks[[#This Row],[_IsSummary]],COUNTIF(INDEX(Tasks[_LeafCritical],Tasks[[#This Row],[_Row]]+1):INDEX(Tasks[_LeafCritical],Tasks[[#This Row],[_Row]]+Tasks[[#This Row],[_Descendants]]),TRUE())&gt;0,Tasks[[#This Row],[_LeafCritical]]),"Yes",""))</f>
        <v/>
      </c>
      <c r="AJ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1" s="89"/>
      <c r="AM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1" s="28" t="str">
        <f aca="false">IF(Tasks[[#This Row],[Task Name]]="","",IF(Tasks[[#This Row],[Progress]]&gt;=1,"Complete",IF(OR(N(Tasks[[#This Row],[Actual Start]])&gt;0,Tasks[[#This Row],[Progress]]&gt;0),IF(Tasks[[#This Row],[Finish Var]]&gt;0,"Behind","In Progress"),IF(Tasks[[#This Row],[Planned Start]]&lt;StatusDate,"Late Start","Not Started"))))</f>
        <v/>
      </c>
      <c r="AO61" s="30"/>
      <c r="AP61" s="89"/>
      <c r="AQ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1" s="96" t="str">
        <f aca="false">IF(Tasks[[#This Row],[Task Name]]="","",IF(Tasks[[#This Row],[_IsSummary]],SUM(INDEX(Tasks[_LeafTotalWork],Tasks[[#This Row],[_Row]]+1):INDEX(Tasks[_LeafTotalWork],Tasks[[#This Row],[_Row]]+Tasks[[#This Row],[_Descendants]])),Tasks[[#This Row],[_LeafTotalWork]]))</f>
        <v/>
      </c>
      <c r="AT61" s="97" t="str">
        <f aca="false">IF(Tasks[[#This Row],[Task Name]]="","",IF(Tasks[[#This Row],[_IsSummary]],SUM(INDEX(Tasks[_LeafTotalCost],Tasks[[#This Row],[_Row]]+1):INDEX(Tasks[_LeafTotalCost],Tasks[[#This Row],[_Row]]+Tasks[[#This Row],[_Descendants]])),Tasks[[#This Row],[_LeafTotalCost]]))</f>
        <v/>
      </c>
      <c r="AU61" s="98"/>
      <c r="AV61" s="29"/>
      <c r="AW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1" s="83"/>
      <c r="AY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1" s="30"/>
      <c r="BA61" s="25" t="str">
        <f aca="false">IF(Tasks[[#This Row],[Task Name]]="","",Tasks[[#This Row],[Forecast Start]])</f>
        <v/>
      </c>
      <c r="BB61" s="25" t="str">
        <f aca="false">IF(Tasks[[#This Row],[Task Name]]="","",Tasks[[#This Row],[Forecast Finish]])</f>
        <v/>
      </c>
      <c r="BC61" s="28" t="str">
        <f aca="false">IF(Tasks[[#This Row],[Task Name]]="","",IF(Tasks[[#This Row],[_IsSummary]],NETWORKDAYS.INTL(Tasks[[#This Row],[Forecast Start]],Tasks[[#This Row],[Forecast Finish]],WorkWeek,Holidays),N(Tasks[[#This Row],[Duration]])))</f>
        <v/>
      </c>
      <c r="BD61" s="96" t="str">
        <f aca="false">IF(Tasks[[#This Row],[Task Name]]="","",Tasks[[#This Row],[Work]])</f>
        <v/>
      </c>
      <c r="BE61" s="97" t="str">
        <f aca="false">IF(Tasks[[#This Row],[Task Name]]="","",Tasks[[#This Row],[Cost]])</f>
        <v/>
      </c>
      <c r="BF61" s="75"/>
      <c r="BG61" s="75"/>
      <c r="BH61" s="29"/>
      <c r="BI61" s="99"/>
      <c r="BJ61" s="98"/>
      <c r="BK61" s="28" t="str">
        <f aca="false">IF(OR(Tasks[[#This Row],[Task Name]]="",Tasks[[#This Row],[Baseline Duration]]=""),"",Tasks[[#This Row],[BL Source Duration]]-N(Tasks[[#This Row],[Baseline Duration]]))</f>
        <v/>
      </c>
      <c r="BL61" s="96" t="str">
        <f aca="false">IF(OR(Tasks[[#This Row],[Task Name]]="",Tasks[[#This Row],[Baseline Work]]=""),"",Tasks[[#This Row],[Work]]-N(Tasks[[#This Row],[Baseline Work]]))</f>
        <v/>
      </c>
      <c r="BM61" s="97" t="str">
        <f aca="false">IF(OR(Tasks[[#This Row],[Task Name]]="",Tasks[[#This Row],[Baseline Cost]]=""),"",Tasks[[#This Row],[Cost]]-N(Tasks[[#This Row],[Baseline Cost]]))</f>
        <v/>
      </c>
      <c r="BN61" s="97" t="str">
        <f aca="false">IF(Tasks[[#This Row],[Task Name]]="","",IF(Tasks[[#This Row],[_IsSummary]],SUM(INDEX(Tasks[_LeafBudget],Tasks[[#This Row],[_Row]]+1):INDEX(Tasks[_LeafBudget],Tasks[[#This Row],[_Row]]+Tasks[[#This Row],[_Descendants]])),Tasks[[#This Row],[_LeafBudget]]))</f>
        <v/>
      </c>
      <c r="BO61" s="97" t="str">
        <f aca="false">IF(Tasks[[#This Row],[Task Name]]="","",IF(Tasks[[#This Row],[_IsSummary]],SUM(INDEX(Tasks[_LeafPV],Tasks[[#This Row],[_Row]]+1):INDEX(Tasks[_LeafPV],Tasks[[#This Row],[_Row]]+Tasks[[#This Row],[_Descendants]])),Tasks[[#This Row],[_LeafPV]]))</f>
        <v/>
      </c>
      <c r="BP61" s="97" t="str">
        <f aca="false">IF(Tasks[[#This Row],[Task Name]]="","",IF(Tasks[[#This Row],[_IsSummary]],SUM(INDEX(Tasks[_LeafEV],Tasks[[#This Row],[_Row]]+1):INDEX(Tasks[_LeafEV],Tasks[[#This Row],[_Row]]+Tasks[[#This Row],[_Descendants]])),Tasks[[#This Row],[_LeafEV]]))</f>
        <v/>
      </c>
      <c r="BQ61" s="97" t="str">
        <f aca="false">IF(Tasks[[#This Row],[Task Name]]="","",IF(Tasks[[#This Row],[_IsSummary]],SUM(INDEX(Tasks[_LeafAC],Tasks[[#This Row],[_Row]]+1):INDEX(Tasks[_LeafAC],Tasks[[#This Row],[_Row]]+Tasks[[#This Row],[_Descendants]])),Tasks[[#This Row],[_LeafAC]]))</f>
        <v/>
      </c>
      <c r="BR61" s="41" t="str">
        <f aca="false">IF(Tasks[[#This Row],[Task Name]]="","",MAX(1,N(Tasks[[#This Row],[Level]])))</f>
        <v/>
      </c>
      <c r="BS61" s="41" t="n">
        <f aca="false">ROW()-ROW(Tasks[[#Headers],[ID]])</f>
        <v>56</v>
      </c>
      <c r="BT61" s="41" t="n">
        <f aca="false">IF(OR(Tasks[[#This Row],[Task Name]]="",Tasks[[#This Row],[_Level]]&lt;=1),0,IFERROR(LOOKUP(2,1/(Tasks[[#Headers],[_Level]]:Tasks[[#This Row],[_Level]]=Tasks[[#This Row],[_Level]]-1),ROW(Tasks[[#Headers],[_Level]]:Tasks[[#This Row],[_Level]])),0))</f>
        <v>0</v>
      </c>
      <c r="BU61" s="41" t="n">
        <f aca="false">IFERROR(N(INDEX(Tasks[_Level],Tasks[[#This Row],[_Row]]+1)),0)</f>
        <v>0</v>
      </c>
      <c r="BV61" s="100" t="b">
        <f aca="false">AND(Tasks[[#This Row],[Task Name]]&lt;&gt;"",Tasks[[#This Row],[_NextLevel]]&gt;Tasks[[#This Row],[_Level]])</f>
        <v>0</v>
      </c>
      <c r="BW61" s="41" t="n">
        <f aca="false">IF(Tasks[[#This Row],[_IsSummary]],COUNTIF(Tasks[WBS],Tasks[[#This Row],[WBS]]&amp;".*"),0)</f>
        <v>0</v>
      </c>
      <c r="BX61" s="41" t="n">
        <f aca="false">IF(AND(Tasks[[#This Row],[Task Name]]&lt;&gt;"",NOT(Tasks[[#This Row],[_IsSummary]])),1,0)</f>
        <v>0</v>
      </c>
      <c r="BY61" s="41" t="n">
        <f aca="false">IF(N(Tasks[[#This Row],[Pred1 UID]])=0,0,IFERROR(MATCH(Tasks[[#This Row],[Pred1 UID]],Tasks[UID],0),-1))</f>
        <v>0</v>
      </c>
      <c r="BZ61" s="41" t="n">
        <f aca="false">IF(N(Tasks[[#This Row],[Pred2 UID]])=0,0,IFERROR(MATCH(Tasks[[#This Row],[Pred2 UID]],Tasks[UID],0),-1))</f>
        <v>0</v>
      </c>
      <c r="CA61" s="41" t="n">
        <f aca="false">IF(N(Tasks[[#This Row],[Pred3 UID]])=0,0,IFERROR(MATCH(Tasks[[#This Row],[Pred3 UID]],Tasks[UID],0),-1))</f>
        <v>0</v>
      </c>
      <c r="CB61" s="41" t="n">
        <f aca="false">IF(N(Tasks[[#This Row],[Pred4 UID]])=0,0,IFERROR(MATCH(Tasks[[#This Row],[Pred4 UID]],Tasks[UID],0),-1))</f>
        <v>0</v>
      </c>
      <c r="CC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1" s="101" t="n">
        <f aca="false">IF(OR(Tasks[[#This Row],[_ConstraintCode]]=2,Tasks[[#This Row],[_ConstraintCode]]=3,Tasks[[#This Row],[_ConstraintCode]]=4,Tasks[[#This Row],[_ConstraintCode]]=6),Tasks[[#This Row],[_ConstraintStart]],0)</f>
        <v>0</v>
      </c>
      <c r="CF61" s="101" t="n">
        <f aca="false">IF(OR(Tasks[[#This Row],[_ConstraintCode]]=2,Tasks[[#This Row],[_ConstraintCode]]=3,Tasks[[#This Row],[_ConstraintCode]]=5,Tasks[[#This Row],[_ConstraintCode]]=7),Tasks[[#This Row],[_ConstraintStart]],2958465)</f>
        <v>2958465</v>
      </c>
      <c r="CG6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1" s="101" t="str">
        <f aca="false">IF(NOT(Tasks[[#This Row],[_IsLeaf]]=1),"",IF(N(Tasks[[#This Row],[Duration]])&lt;=0,Tasks[[#This Row],[_LeafCalcStart]],WORKDAY.INTL(Tasks[[#This Row],[_LeafCalcStart]],Tasks[[#This Row],[Duration]]-1,WorkWeek,Holidays)))</f>
        <v/>
      </c>
      <c r="CI6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1" s="41" t="n">
        <f aca="false">IF(NOT(Tasks[[#This Row],[_IsLeaf]]=1),0,IF(N(Tasks[[#This Row],[Actual Finish]])&gt;0,1,MIN(1,N(Tasks[[#This Row],[% Complete]]))))</f>
        <v>0</v>
      </c>
      <c r="CL61" s="41" t="n">
        <f aca="false">IF(OR(NOT(Tasks[[#This Row],[_IsLeaf]]=1),Tasks[[#This Row],[Resource]]=""),0,N(Tasks[[#This Row],[Duration]])*HoursPerDay*IF(Tasks[[#This Row],[Units]]="",DefaultUnits,Tasks[[#This Row],[Units]]))</f>
        <v>0</v>
      </c>
      <c r="CM61" s="41" t="n">
        <f aca="false">IF(Tasks[[#This Row],[_LeafWork]]=0,0,Tasks[[#This Row],[_LeafWork]]*IFERROR(INDEX(res_Rate,MATCH(Tasks[[#This Row],[Resource]],res_Name,0)),0))</f>
        <v>0</v>
      </c>
      <c r="CN61" s="41" t="n">
        <f aca="false">Tasks[[#This Row],[_LeafWork]]+IF(Tasks[[#This Row],[_IsLeaf]]=1,SUMIFS(asg_Work,asg_TaskUID,Tasks[[#This Row],[UID]],asg_Valid,1),0)</f>
        <v>0</v>
      </c>
      <c r="CO61" s="41" t="n">
        <f aca="false">Tasks[[#This Row],[_LeafCost]]+IF(Tasks[[#This Row],[_IsLeaf]]=1,SUMIFS(asg_Cost,asg_TaskUID,Tasks[[#This Row],[UID]],asg_Valid,1),0)</f>
        <v>0</v>
      </c>
      <c r="CP61" s="41" t="n">
        <f aca="false">IF(Tasks[[#This Row],[_LeafTotalCost]]=0,Tasks[[#This Row],[_LeafAC]],Tasks[[#This Row],[_LeafAC]]*Tasks[[#This Row],[_LeafCost]]/Tasks[[#This Row],[_LeafTotalCost]])</f>
        <v>0</v>
      </c>
      <c r="CQ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1" s="41" t="n">
        <f aca="false">IF(NOT(Tasks[[#This Row],[_IsLeaf]]=1),0,MAX(_xlfn.MAXIFS(Tasks[_Row],Tasks[Pred1 UID],Tasks[[#This Row],[UID]]),_xlfn.MAXIFS(Tasks[_Row],Tasks[Pred2 UID],Tasks[[#This Row],[UID]]),_xlfn.MAXIFS(Tasks[_Row],Tasks[Pred3 UID],Tasks[[#This Row],[UID]]),_xlfn.MAXIFS(Tasks[_Row],Tasks[Pred4 UID],Tasks[[#This Row],[UID]])))</f>
        <v>0</v>
      </c>
      <c r="CZ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1" s="101" t="str">
        <f aca="false">IF(NOT(Tasks[[#This Row],[_IsLeaf]]=1),"",IF(N(Tasks[[#This Row],[Duration]])&lt;=0,Tasks[[#This Row],[_LeafLateFinish]],WORKDAY.INTL(Tasks[[#This Row],[_LeafLateFinish]],-(Tasks[[#This Row],[Duration]]-1),WorkWeek,Holidays)))</f>
        <v/>
      </c>
      <c r="DC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1" s="100" t="b">
        <f aca="false">AND(Tasks[[#This Row],[_IsLeaf]]=1,Tasks[[#This Row],[_LeafProgress]]&lt;1,N(Tasks[[#This Row],[_LeafTotalSlack]])&lt;=CriticalSlackDays)</f>
        <v>0</v>
      </c>
      <c r="DE61" s="41" t="n">
        <f aca="false">IF(AND(Tasks[[#This Row],[_IsLeaf]]=1,Tasks[[#This Row],[_ConstraintCode]]=1,Tasks[[#This Row],[Mode]]&lt;&gt;"Manual",N(Tasks[[#This Row],[Actual Start]])=0),MAX(0,N(Tasks[[#This Row],[Free Slack]])),0)</f>
        <v>0</v>
      </c>
      <c r="DF61" s="101" t="str">
        <f aca="false">IF(NOT(Tasks[[#This Row],[_IsLeaf]]=1),"",IF(Tasks[[#This Row],[_AlapShift]]=0,Tasks[[#This Row],[_LeafCalcStart]],WORKDAY.INTL(Tasks[[#This Row],[_LeafCalcStart]],Tasks[[#This Row],[_AlapShift]],WorkWeek,Holidays)))</f>
        <v/>
      </c>
      <c r="DG61" s="101" t="str">
        <f aca="false">IF(NOT(Tasks[[#This Row],[_IsLeaf]]=1),"",IF(Tasks[[#This Row],[_AlapShift]]=0,Tasks[[#This Row],[_LeafCalcFinish]],WORKDAY.INTL(Tasks[[#This Row],[_LeafCalcFinish]],Tasks[[#This Row],[_AlapShift]],WorkWeek,Holidays)))</f>
        <v/>
      </c>
      <c r="DH61" s="101" t="str">
        <f aca="false">IF(NOT(Tasks[[#This Row],[_IsLeaf]]=1),"",IF(Tasks[[#This Row],[_AlapShift]]=0,Tasks[[#This Row],[_LeafFcstStart]],WORKDAY.INTL(Tasks[[#This Row],[_LeafFcstStart]],Tasks[[#This Row],[_AlapShift]],WorkWeek,Holidays)))</f>
        <v/>
      </c>
      <c r="DI61" s="101" t="str">
        <f aca="false">IF(NOT(Tasks[[#This Row],[_IsLeaf]]=1),"",IF(Tasks[[#This Row],[_AlapShift]]=0,Tasks[[#This Row],[_LeafFcstFinish]],WORKDAY.INTL(Tasks[[#This Row],[_LeafFcstFinish]],Tasks[[#This Row],[_AlapShift]],WorkWeek,Holidays)))</f>
        <v/>
      </c>
      <c r="DJ61" s="101" t="str">
        <f aca="false">IF(Tasks[[#This Row],[Task Name]]="","",IF(Tasks[[#This Row],[_IsSummary]],MIN(INDEX(Tasks[_ShownCalcStart],Tasks[[#This Row],[_Row]]+1):INDEX(Tasks[_ShownCalcStart],Tasks[[#This Row],[_Row]]+Tasks[[#This Row],[_Descendants]])),Tasks[[#This Row],[_ShownCalcStart]]))</f>
        <v/>
      </c>
      <c r="DK61" s="101" t="str">
        <f aca="false">IF(Tasks[[#This Row],[Task Name]]="","",IF(Tasks[[#This Row],[_IsSummary]],MAX(INDEX(Tasks[_ShownCalcFinish],Tasks[[#This Row],[_Row]]+1):INDEX(Tasks[_ShownCalcFinish],Tasks[[#This Row],[_Row]]+Tasks[[#This Row],[_Descendants]])),Tasks[[#This Row],[_ShownCalcFinish]]))</f>
        <v/>
      </c>
      <c r="D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1" s="41" t="n">
        <f aca="false">IF(AND(Tasks[[#This Row],[_IsLeaf]]=1,Tasks[[#This Row],[_LeafTotalWork]]&gt;0),NETWORKDAYS.INTL(ProjectStart,Tasks[[#This Row],[_ShownFcstStart]],WorkWeek,Holidays),0)</f>
        <v>0</v>
      </c>
      <c r="DY61" s="41" t="n">
        <f aca="false">IF(AND(Tasks[[#This Row],[_IsLeaf]]=1,Tasks[[#This Row],[_LeafTotalWork]]&gt;0),MAX(Tasks[[#This Row],[_StartWorkday]],NETWORKDAYS.INTL(ProjectStart,Tasks[[#This Row],[_ShownFcstFinish]],WorkWeek,Holidays)),0)</f>
        <v>0</v>
      </c>
      <c r="DZ61" s="41" t="n">
        <f aca="false">IF(AND(Tasks[[#This Row],[_IsLeaf]]=1,Tasks[[#This Row],[_LeafTotalWork]]&gt;0),Tasks[[#This Row],[_LeafWork]]/(Tasks[[#This Row],[_FinishWorkday]]-Tasks[[#This Row],[_StartWorkday]]+1),0)</f>
        <v>0</v>
      </c>
      <c r="EA61" s="41" t="n">
        <f aca="false">Tasks[[#This Row],[_WorkPerWorkday]]*(Tasks[[#This Row],[_StartWorkday]]-1)</f>
        <v>-0</v>
      </c>
      <c r="EB61" s="41" t="n">
        <f aca="false">IF(Tasks[[#This Row],[_IsLeaf]]=1,MAX(N(Tasks[[#This Row],[Duration]]),0.1),0)</f>
        <v>0</v>
      </c>
      <c r="EC61" s="41" t="n">
        <f aca="false">Tasks[[#This Row],[_WeightDur]]*Tasks[[#This Row],[_LeafProgress]]</f>
        <v>0</v>
      </c>
      <c r="ED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1" s="41" t="str">
        <f aca="false">IF(AND(Tasks[[#This Row],[_IsLeaf]]=1,N(Tasks[[#This Row],[Duration]])=0,Tasks[[#This Row],[_LeafProgress]]&lt;1),Tasks[[#This Row],[_ShownFcstFinish]]+Tasks[[#This Row],[_Row]]/100000,"")</f>
        <v/>
      </c>
      <c r="EF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1" s="41" t="n">
        <f aca="false">IF(NOT(Tasks[[#This Row],[_IsLeaf]]=1),0,IF(Tasks[[#This Row],[Baseline Cost]]="",Tasks[[#This Row],[_LeafTotalCost]],N(Tasks[[#This Row],[Baseline Cost]])))</f>
        <v>0</v>
      </c>
      <c r="EH61" s="41" t="n">
        <f aca="false">Tasks[[#This Row],[_LeafBudget]]*Tasks[[#This Row],[_PlannedPct]]</f>
        <v>0</v>
      </c>
      <c r="EI61" s="41" t="n">
        <f aca="false">Tasks[[#This Row],[_LeafBudget]]*Tasks[[#This Row],[_LeafProgress]]</f>
        <v>0</v>
      </c>
      <c r="EJ61" s="41" t="n">
        <f aca="false">IF(NOT(Tasks[[#This Row],[_IsLeaf]]=1),0,IF(Tasks[[#This Row],[Actual Cost]]="",Tasks[[#This Row],[_LeafTotalCost]]*Tasks[[#This Row],[_LeafProgress]],N(Tasks[[#This Row],[Actual Cost]])))</f>
        <v>0</v>
      </c>
      <c r="EK61" s="41" t="str">
        <f aca="false">IF(Tasks[[#This Row],[Task Name]]="","",LEFT(Tasks[[#This Row],[WBS]],FIND(".",Tasks[[#This Row],[WBS]]&amp;".")-1))</f>
        <v/>
      </c>
      <c r="EL61" s="41" t="str">
        <f aca="false">IF(AND(Tasks[[#This Row],[Task Name]]&lt;&gt;"",Tasks[[#This Row],[_Level]]=1),Tasks[[#This Row],[_Row]],"")</f>
        <v/>
      </c>
      <c r="EM61" s="41" t="str">
        <f aca="false">IF(AND(Tasks[[#This Row],[_IsLeaf]]=1,N(Tasks[[#This Row],[Duration]])=0),Tasks[[#This Row],[Planned Finish]]+Tasks[[#This Row],[_Row]]/100000,"")</f>
        <v/>
      </c>
      <c r="EN61" s="41" t="str">
        <f aca="false">IF(AND(Tasks[[#This Row],[_IsLeaf]]=1,Tasks[[#This Row],[_LeafProgress]]&lt;1,OR(N(Tasks[[#This Row],[Finish Var]])&gt;0,Tasks[[#This Row],[Status]]="Late Start")),MAX(0,Tasks[[#This Row],[Finish Var]])+1-Tasks[[#This Row],[_Row]]/1000000,"")</f>
        <v/>
      </c>
      <c r="EO61" s="41" t="str">
        <f aca="false">IF(AND(Tasks[[#This Row],[_IsLeaf]]=1,N(Tasks[[#This Row],[Actual Start]])=0,Tasks[[#This Row],[_ShownFcstStart]]&gt;=StatusDate,Tasks[[#This Row],[_ShownFcstStart]]&lt;=LookaheadEnd),Tasks[[#This Row],[_ShownFcstStart]]+Tasks[[#This Row],[_Row]]/100000,"")</f>
        <v/>
      </c>
      <c r="EP61" s="41" t="str">
        <f aca="false">IF(AND(Tasks[[#This Row],[_IsLeaf]]=1,Tasks[[#This Row],[_LeafProgress]]&lt;1,Tasks[[#This Row],[_ShownFcstFinish]]&gt;=StatusDate,Tasks[[#This Row],[_ShownFcstFinish]]&lt;=LookaheadEnd),Tasks[[#This Row],[_ShownFcstFinish]]+Tasks[[#This Row],[_Row]]/100000,"")</f>
        <v/>
      </c>
      <c r="EQ61" s="41" t="str">
        <f aca="false">IF(Tasks[[#This Row],[_LeafCritical]],Tasks[[#This Row],[_ShownFcstStart]]+Tasks[[#This Row],[_Row]]/100000,"")</f>
        <v/>
      </c>
      <c r="ER61" s="41" t="n">
        <f aca="false">Tasks[[#This Row],[_LeafWork]]*Tasks[[#This Row],[_LeafProgress]]</f>
        <v>0</v>
      </c>
      <c r="ES61" s="101" t="str">
        <f aca="false">IF(AND(Tasks[[#This Row],[_IsLeaf]]=1,Tasks[[#This Row],[_LeafProgress]]&gt;=1),IF(N(Tasks[[#This Row],[Actual Finish]])&gt;0,Tasks[[#This Row],[Actual Finish]],Tasks[[#This Row],[_ShownFcstFinish]]),"")</f>
        <v/>
      </c>
      <c r="ET61" s="41" t="n">
        <f aca="false">IF(Tasks[[#This Row],[_IsLeaf]]=1,N(Tasks[[#This Row],[Story Points]]),0)</f>
        <v>0</v>
      </c>
      <c r="EU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29"/>
      <c r="O62" s="29"/>
      <c r="P62" s="29"/>
      <c r="Q62" s="29"/>
      <c r="R62" s="29"/>
      <c r="S62" s="29"/>
      <c r="T62" s="30"/>
      <c r="U62" s="75"/>
      <c r="V62" s="75"/>
      <c r="W62" s="25" t="str">
        <f aca="false">IF(Tasks[[#This Row],[Task Name]]="","",IF(N(Tasks[[#This Row],[Baseline Start]])&gt;0,Tasks[[#This Row],[Baseline Start]],Tasks[[#This Row],[_CalcStart]]))</f>
        <v/>
      </c>
      <c r="X62" s="25" t="str">
        <f aca="false">IF(Tasks[[#This Row],[Task Name]]="","",IF(N(Tasks[[#This Row],[Baseline Finish]])&gt;0,Tasks[[#This Row],[Baseline Finish]],Tasks[[#This Row],[_CalcFinish]]))</f>
        <v/>
      </c>
      <c r="Y62" s="75"/>
      <c r="Z62" s="75"/>
      <c r="AA62" s="25" t="str">
        <f aca="false">IF(Tasks[[#This Row],[Task Name]]="","",IF(Tasks[[#This Row],[_IsSummary]],MIN(INDEX(Tasks[_ShownFcstStart],Tasks[[#This Row],[_Row]]+1):INDEX(Tasks[_ShownFcstStart],Tasks[[#This Row],[_Row]]+Tasks[[#This Row],[_Descendants]])),Tasks[[#This Row],[_ShownFcstStart]]))</f>
        <v/>
      </c>
      <c r="AB62" s="25" t="str">
        <f aca="false">IF(Tasks[[#This Row],[Task Name]]="","",IF(Tasks[[#This Row],[_IsSummary]],MAX(INDEX(Tasks[_ShownFcstFinish],Tasks[[#This Row],[_Row]]+1):INDEX(Tasks[_ShownFcstFinish],Tasks[[#This Row],[_Row]]+Tasks[[#This Row],[_Descendants]])),Tasks[[#This Row],[_ShownFcstFinish]]))</f>
        <v/>
      </c>
      <c r="AC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2" s="25" t="str">
        <f aca="false">IF(Tasks[[#This Row],[Task Name]]="","",IF(Tasks[[#This Row],[_IsSummary]],MIN(INDEX(Tasks[_LeafLateStart],Tasks[[#This Row],[_Row]]+1):INDEX(Tasks[_LeafLateStart],Tasks[[#This Row],[_Row]]+Tasks[[#This Row],[_Descendants]])),Tasks[[#This Row],[_LeafLateStart]]))</f>
        <v/>
      </c>
      <c r="AF62" s="25" t="str">
        <f aca="false">IF(Tasks[[#This Row],[Task Name]]="","",IF(Tasks[[#This Row],[_IsSummary]],MAX(INDEX(Tasks[_LeafLateFinish],Tasks[[#This Row],[_Row]]+1):INDEX(Tasks[_LeafLateFinish],Tasks[[#This Row],[_Row]]+Tasks[[#This Row],[_Descendants]])),Tasks[[#This Row],[_LeafLateFinish]]))</f>
        <v/>
      </c>
      <c r="AG62" s="28" t="str">
        <f aca="false">IF(Tasks[[#This Row],[Task Name]]="","",IF(Tasks[[#This Row],[_IsSummary]],MIN(INDEX(Tasks[_LeafTotalSlack],Tasks[[#This Row],[_Row]]+1):INDEX(Tasks[_LeafTotalSlack],Tasks[[#This Row],[_Row]]+Tasks[[#This Row],[_Descendants]])),Tasks[[#This Row],[_LeafTotalSlack]]))</f>
        <v/>
      </c>
      <c r="AH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2" s="28" t="str">
        <f aca="false">IF(Tasks[[#This Row],[Task Name]]="","",IF(IF(Tasks[[#This Row],[_IsSummary]],COUNTIF(INDEX(Tasks[_LeafCritical],Tasks[[#This Row],[_Row]]+1):INDEX(Tasks[_LeafCritical],Tasks[[#This Row],[_Row]]+Tasks[[#This Row],[_Descendants]]),TRUE())&gt;0,Tasks[[#This Row],[_LeafCritical]]),"Yes",""))</f>
        <v/>
      </c>
      <c r="AJ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2" s="89"/>
      <c r="AM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2" s="28" t="str">
        <f aca="false">IF(Tasks[[#This Row],[Task Name]]="","",IF(Tasks[[#This Row],[Progress]]&gt;=1,"Complete",IF(OR(N(Tasks[[#This Row],[Actual Start]])&gt;0,Tasks[[#This Row],[Progress]]&gt;0),IF(Tasks[[#This Row],[Finish Var]]&gt;0,"Behind","In Progress"),IF(Tasks[[#This Row],[Planned Start]]&lt;StatusDate,"Late Start","Not Started"))))</f>
        <v/>
      </c>
      <c r="AO62" s="30"/>
      <c r="AP62" s="89"/>
      <c r="AQ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2" s="96" t="str">
        <f aca="false">IF(Tasks[[#This Row],[Task Name]]="","",IF(Tasks[[#This Row],[_IsSummary]],SUM(INDEX(Tasks[_LeafTotalWork],Tasks[[#This Row],[_Row]]+1):INDEX(Tasks[_LeafTotalWork],Tasks[[#This Row],[_Row]]+Tasks[[#This Row],[_Descendants]])),Tasks[[#This Row],[_LeafTotalWork]]))</f>
        <v/>
      </c>
      <c r="AT62" s="97" t="str">
        <f aca="false">IF(Tasks[[#This Row],[Task Name]]="","",IF(Tasks[[#This Row],[_IsSummary]],SUM(INDEX(Tasks[_LeafTotalCost],Tasks[[#This Row],[_Row]]+1):INDEX(Tasks[_LeafTotalCost],Tasks[[#This Row],[_Row]]+Tasks[[#This Row],[_Descendants]])),Tasks[[#This Row],[_LeafTotalCost]]))</f>
        <v/>
      </c>
      <c r="AU62" s="98"/>
      <c r="AV62" s="29"/>
      <c r="AW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2" s="83"/>
      <c r="AY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2" s="30"/>
      <c r="BA62" s="25" t="str">
        <f aca="false">IF(Tasks[[#This Row],[Task Name]]="","",Tasks[[#This Row],[Forecast Start]])</f>
        <v/>
      </c>
      <c r="BB62" s="25" t="str">
        <f aca="false">IF(Tasks[[#This Row],[Task Name]]="","",Tasks[[#This Row],[Forecast Finish]])</f>
        <v/>
      </c>
      <c r="BC62" s="28" t="str">
        <f aca="false">IF(Tasks[[#This Row],[Task Name]]="","",IF(Tasks[[#This Row],[_IsSummary]],NETWORKDAYS.INTL(Tasks[[#This Row],[Forecast Start]],Tasks[[#This Row],[Forecast Finish]],WorkWeek,Holidays),N(Tasks[[#This Row],[Duration]])))</f>
        <v/>
      </c>
      <c r="BD62" s="96" t="str">
        <f aca="false">IF(Tasks[[#This Row],[Task Name]]="","",Tasks[[#This Row],[Work]])</f>
        <v/>
      </c>
      <c r="BE62" s="97" t="str">
        <f aca="false">IF(Tasks[[#This Row],[Task Name]]="","",Tasks[[#This Row],[Cost]])</f>
        <v/>
      </c>
      <c r="BF62" s="75"/>
      <c r="BG62" s="75"/>
      <c r="BH62" s="29"/>
      <c r="BI62" s="99"/>
      <c r="BJ62" s="98"/>
      <c r="BK62" s="28" t="str">
        <f aca="false">IF(OR(Tasks[[#This Row],[Task Name]]="",Tasks[[#This Row],[Baseline Duration]]=""),"",Tasks[[#This Row],[BL Source Duration]]-N(Tasks[[#This Row],[Baseline Duration]]))</f>
        <v/>
      </c>
      <c r="BL62" s="96" t="str">
        <f aca="false">IF(OR(Tasks[[#This Row],[Task Name]]="",Tasks[[#This Row],[Baseline Work]]=""),"",Tasks[[#This Row],[Work]]-N(Tasks[[#This Row],[Baseline Work]]))</f>
        <v/>
      </c>
      <c r="BM62" s="97" t="str">
        <f aca="false">IF(OR(Tasks[[#This Row],[Task Name]]="",Tasks[[#This Row],[Baseline Cost]]=""),"",Tasks[[#This Row],[Cost]]-N(Tasks[[#This Row],[Baseline Cost]]))</f>
        <v/>
      </c>
      <c r="BN62" s="97" t="str">
        <f aca="false">IF(Tasks[[#This Row],[Task Name]]="","",IF(Tasks[[#This Row],[_IsSummary]],SUM(INDEX(Tasks[_LeafBudget],Tasks[[#This Row],[_Row]]+1):INDEX(Tasks[_LeafBudget],Tasks[[#This Row],[_Row]]+Tasks[[#This Row],[_Descendants]])),Tasks[[#This Row],[_LeafBudget]]))</f>
        <v/>
      </c>
      <c r="BO62" s="97" t="str">
        <f aca="false">IF(Tasks[[#This Row],[Task Name]]="","",IF(Tasks[[#This Row],[_IsSummary]],SUM(INDEX(Tasks[_LeafPV],Tasks[[#This Row],[_Row]]+1):INDEX(Tasks[_LeafPV],Tasks[[#This Row],[_Row]]+Tasks[[#This Row],[_Descendants]])),Tasks[[#This Row],[_LeafPV]]))</f>
        <v/>
      </c>
      <c r="BP62" s="97" t="str">
        <f aca="false">IF(Tasks[[#This Row],[Task Name]]="","",IF(Tasks[[#This Row],[_IsSummary]],SUM(INDEX(Tasks[_LeafEV],Tasks[[#This Row],[_Row]]+1):INDEX(Tasks[_LeafEV],Tasks[[#This Row],[_Row]]+Tasks[[#This Row],[_Descendants]])),Tasks[[#This Row],[_LeafEV]]))</f>
        <v/>
      </c>
      <c r="BQ62" s="97" t="str">
        <f aca="false">IF(Tasks[[#This Row],[Task Name]]="","",IF(Tasks[[#This Row],[_IsSummary]],SUM(INDEX(Tasks[_LeafAC],Tasks[[#This Row],[_Row]]+1):INDEX(Tasks[_LeafAC],Tasks[[#This Row],[_Row]]+Tasks[[#This Row],[_Descendants]])),Tasks[[#This Row],[_LeafAC]]))</f>
        <v/>
      </c>
      <c r="BR62" s="41" t="str">
        <f aca="false">IF(Tasks[[#This Row],[Task Name]]="","",MAX(1,N(Tasks[[#This Row],[Level]])))</f>
        <v/>
      </c>
      <c r="BS62" s="41" t="n">
        <f aca="false">ROW()-ROW(Tasks[[#Headers],[ID]])</f>
        <v>57</v>
      </c>
      <c r="BT62" s="41" t="n">
        <f aca="false">IF(OR(Tasks[[#This Row],[Task Name]]="",Tasks[[#This Row],[_Level]]&lt;=1),0,IFERROR(LOOKUP(2,1/(Tasks[[#Headers],[_Level]]:Tasks[[#This Row],[_Level]]=Tasks[[#This Row],[_Level]]-1),ROW(Tasks[[#Headers],[_Level]]:Tasks[[#This Row],[_Level]])),0))</f>
        <v>0</v>
      </c>
      <c r="BU62" s="41" t="n">
        <f aca="false">IFERROR(N(INDEX(Tasks[_Level],Tasks[[#This Row],[_Row]]+1)),0)</f>
        <v>0</v>
      </c>
      <c r="BV62" s="100" t="b">
        <f aca="false">AND(Tasks[[#This Row],[Task Name]]&lt;&gt;"",Tasks[[#This Row],[_NextLevel]]&gt;Tasks[[#This Row],[_Level]])</f>
        <v>0</v>
      </c>
      <c r="BW62" s="41" t="n">
        <f aca="false">IF(Tasks[[#This Row],[_IsSummary]],COUNTIF(Tasks[WBS],Tasks[[#This Row],[WBS]]&amp;".*"),0)</f>
        <v>0</v>
      </c>
      <c r="BX62" s="41" t="n">
        <f aca="false">IF(AND(Tasks[[#This Row],[Task Name]]&lt;&gt;"",NOT(Tasks[[#This Row],[_IsSummary]])),1,0)</f>
        <v>0</v>
      </c>
      <c r="BY62" s="41" t="n">
        <f aca="false">IF(N(Tasks[[#This Row],[Pred1 UID]])=0,0,IFERROR(MATCH(Tasks[[#This Row],[Pred1 UID]],Tasks[UID],0),-1))</f>
        <v>0</v>
      </c>
      <c r="BZ62" s="41" t="n">
        <f aca="false">IF(N(Tasks[[#This Row],[Pred2 UID]])=0,0,IFERROR(MATCH(Tasks[[#This Row],[Pred2 UID]],Tasks[UID],0),-1))</f>
        <v>0</v>
      </c>
      <c r="CA62" s="41" t="n">
        <f aca="false">IF(N(Tasks[[#This Row],[Pred3 UID]])=0,0,IFERROR(MATCH(Tasks[[#This Row],[Pred3 UID]],Tasks[UID],0),-1))</f>
        <v>0</v>
      </c>
      <c r="CB62" s="41" t="n">
        <f aca="false">IF(N(Tasks[[#This Row],[Pred4 UID]])=0,0,IFERROR(MATCH(Tasks[[#This Row],[Pred4 UID]],Tasks[UID],0),-1))</f>
        <v>0</v>
      </c>
      <c r="CC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2" s="101" t="n">
        <f aca="false">IF(OR(Tasks[[#This Row],[_ConstraintCode]]=2,Tasks[[#This Row],[_ConstraintCode]]=3,Tasks[[#This Row],[_ConstraintCode]]=4,Tasks[[#This Row],[_ConstraintCode]]=6),Tasks[[#This Row],[_ConstraintStart]],0)</f>
        <v>0</v>
      </c>
      <c r="CF62" s="101" t="n">
        <f aca="false">IF(OR(Tasks[[#This Row],[_ConstraintCode]]=2,Tasks[[#This Row],[_ConstraintCode]]=3,Tasks[[#This Row],[_ConstraintCode]]=5,Tasks[[#This Row],[_ConstraintCode]]=7),Tasks[[#This Row],[_ConstraintStart]],2958465)</f>
        <v>2958465</v>
      </c>
      <c r="CG6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2" s="101" t="str">
        <f aca="false">IF(NOT(Tasks[[#This Row],[_IsLeaf]]=1),"",IF(N(Tasks[[#This Row],[Duration]])&lt;=0,Tasks[[#This Row],[_LeafCalcStart]],WORKDAY.INTL(Tasks[[#This Row],[_LeafCalcStart]],Tasks[[#This Row],[Duration]]-1,WorkWeek,Holidays)))</f>
        <v/>
      </c>
      <c r="CI6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2" s="41" t="n">
        <f aca="false">IF(NOT(Tasks[[#This Row],[_IsLeaf]]=1),0,IF(N(Tasks[[#This Row],[Actual Finish]])&gt;0,1,MIN(1,N(Tasks[[#This Row],[% Complete]]))))</f>
        <v>0</v>
      </c>
      <c r="CL62" s="41" t="n">
        <f aca="false">IF(OR(NOT(Tasks[[#This Row],[_IsLeaf]]=1),Tasks[[#This Row],[Resource]]=""),0,N(Tasks[[#This Row],[Duration]])*HoursPerDay*IF(Tasks[[#This Row],[Units]]="",DefaultUnits,Tasks[[#This Row],[Units]]))</f>
        <v>0</v>
      </c>
      <c r="CM62" s="41" t="n">
        <f aca="false">IF(Tasks[[#This Row],[_LeafWork]]=0,0,Tasks[[#This Row],[_LeafWork]]*IFERROR(INDEX(res_Rate,MATCH(Tasks[[#This Row],[Resource]],res_Name,0)),0))</f>
        <v>0</v>
      </c>
      <c r="CN62" s="41" t="n">
        <f aca="false">Tasks[[#This Row],[_LeafWork]]+IF(Tasks[[#This Row],[_IsLeaf]]=1,SUMIFS(asg_Work,asg_TaskUID,Tasks[[#This Row],[UID]],asg_Valid,1),0)</f>
        <v>0</v>
      </c>
      <c r="CO62" s="41" t="n">
        <f aca="false">Tasks[[#This Row],[_LeafCost]]+IF(Tasks[[#This Row],[_IsLeaf]]=1,SUMIFS(asg_Cost,asg_TaskUID,Tasks[[#This Row],[UID]],asg_Valid,1),0)</f>
        <v>0</v>
      </c>
      <c r="CP62" s="41" t="n">
        <f aca="false">IF(Tasks[[#This Row],[_LeafTotalCost]]=0,Tasks[[#This Row],[_LeafAC]],Tasks[[#This Row],[_LeafAC]]*Tasks[[#This Row],[_LeafCost]]/Tasks[[#This Row],[_LeafTotalCost]])</f>
        <v>0</v>
      </c>
      <c r="CQ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2" s="41" t="n">
        <f aca="false">IF(NOT(Tasks[[#This Row],[_IsLeaf]]=1),0,MAX(_xlfn.MAXIFS(Tasks[_Row],Tasks[Pred1 UID],Tasks[[#This Row],[UID]]),_xlfn.MAXIFS(Tasks[_Row],Tasks[Pred2 UID],Tasks[[#This Row],[UID]]),_xlfn.MAXIFS(Tasks[_Row],Tasks[Pred3 UID],Tasks[[#This Row],[UID]]),_xlfn.MAXIFS(Tasks[_Row],Tasks[Pred4 UID],Tasks[[#This Row],[UID]])))</f>
        <v>0</v>
      </c>
      <c r="CZ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2" s="101" t="str">
        <f aca="false">IF(NOT(Tasks[[#This Row],[_IsLeaf]]=1),"",IF(N(Tasks[[#This Row],[Duration]])&lt;=0,Tasks[[#This Row],[_LeafLateFinish]],WORKDAY.INTL(Tasks[[#This Row],[_LeafLateFinish]],-(Tasks[[#This Row],[Duration]]-1),WorkWeek,Holidays)))</f>
        <v/>
      </c>
      <c r="DC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2" s="100" t="b">
        <f aca="false">AND(Tasks[[#This Row],[_IsLeaf]]=1,Tasks[[#This Row],[_LeafProgress]]&lt;1,N(Tasks[[#This Row],[_LeafTotalSlack]])&lt;=CriticalSlackDays)</f>
        <v>0</v>
      </c>
      <c r="DE62" s="41" t="n">
        <f aca="false">IF(AND(Tasks[[#This Row],[_IsLeaf]]=1,Tasks[[#This Row],[_ConstraintCode]]=1,Tasks[[#This Row],[Mode]]&lt;&gt;"Manual",N(Tasks[[#This Row],[Actual Start]])=0),MAX(0,N(Tasks[[#This Row],[Free Slack]])),0)</f>
        <v>0</v>
      </c>
      <c r="DF62" s="101" t="str">
        <f aca="false">IF(NOT(Tasks[[#This Row],[_IsLeaf]]=1),"",IF(Tasks[[#This Row],[_AlapShift]]=0,Tasks[[#This Row],[_LeafCalcStart]],WORKDAY.INTL(Tasks[[#This Row],[_LeafCalcStart]],Tasks[[#This Row],[_AlapShift]],WorkWeek,Holidays)))</f>
        <v/>
      </c>
      <c r="DG62" s="101" t="str">
        <f aca="false">IF(NOT(Tasks[[#This Row],[_IsLeaf]]=1),"",IF(Tasks[[#This Row],[_AlapShift]]=0,Tasks[[#This Row],[_LeafCalcFinish]],WORKDAY.INTL(Tasks[[#This Row],[_LeafCalcFinish]],Tasks[[#This Row],[_AlapShift]],WorkWeek,Holidays)))</f>
        <v/>
      </c>
      <c r="DH62" s="101" t="str">
        <f aca="false">IF(NOT(Tasks[[#This Row],[_IsLeaf]]=1),"",IF(Tasks[[#This Row],[_AlapShift]]=0,Tasks[[#This Row],[_LeafFcstStart]],WORKDAY.INTL(Tasks[[#This Row],[_LeafFcstStart]],Tasks[[#This Row],[_AlapShift]],WorkWeek,Holidays)))</f>
        <v/>
      </c>
      <c r="DI62" s="101" t="str">
        <f aca="false">IF(NOT(Tasks[[#This Row],[_IsLeaf]]=1),"",IF(Tasks[[#This Row],[_AlapShift]]=0,Tasks[[#This Row],[_LeafFcstFinish]],WORKDAY.INTL(Tasks[[#This Row],[_LeafFcstFinish]],Tasks[[#This Row],[_AlapShift]],WorkWeek,Holidays)))</f>
        <v/>
      </c>
      <c r="DJ62" s="101" t="str">
        <f aca="false">IF(Tasks[[#This Row],[Task Name]]="","",IF(Tasks[[#This Row],[_IsSummary]],MIN(INDEX(Tasks[_ShownCalcStart],Tasks[[#This Row],[_Row]]+1):INDEX(Tasks[_ShownCalcStart],Tasks[[#This Row],[_Row]]+Tasks[[#This Row],[_Descendants]])),Tasks[[#This Row],[_ShownCalcStart]]))</f>
        <v/>
      </c>
      <c r="DK62" s="101" t="str">
        <f aca="false">IF(Tasks[[#This Row],[Task Name]]="","",IF(Tasks[[#This Row],[_IsSummary]],MAX(INDEX(Tasks[_ShownCalcFinish],Tasks[[#This Row],[_Row]]+1):INDEX(Tasks[_ShownCalcFinish],Tasks[[#This Row],[_Row]]+Tasks[[#This Row],[_Descendants]])),Tasks[[#This Row],[_ShownCalcFinish]]))</f>
        <v/>
      </c>
      <c r="D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2" s="41" t="n">
        <f aca="false">IF(AND(Tasks[[#This Row],[_IsLeaf]]=1,Tasks[[#This Row],[_LeafTotalWork]]&gt;0),NETWORKDAYS.INTL(ProjectStart,Tasks[[#This Row],[_ShownFcstStart]],WorkWeek,Holidays),0)</f>
        <v>0</v>
      </c>
      <c r="DY62" s="41" t="n">
        <f aca="false">IF(AND(Tasks[[#This Row],[_IsLeaf]]=1,Tasks[[#This Row],[_LeafTotalWork]]&gt;0),MAX(Tasks[[#This Row],[_StartWorkday]],NETWORKDAYS.INTL(ProjectStart,Tasks[[#This Row],[_ShownFcstFinish]],WorkWeek,Holidays)),0)</f>
        <v>0</v>
      </c>
      <c r="DZ62" s="41" t="n">
        <f aca="false">IF(AND(Tasks[[#This Row],[_IsLeaf]]=1,Tasks[[#This Row],[_LeafTotalWork]]&gt;0),Tasks[[#This Row],[_LeafWork]]/(Tasks[[#This Row],[_FinishWorkday]]-Tasks[[#This Row],[_StartWorkday]]+1),0)</f>
        <v>0</v>
      </c>
      <c r="EA62" s="41" t="n">
        <f aca="false">Tasks[[#This Row],[_WorkPerWorkday]]*(Tasks[[#This Row],[_StartWorkday]]-1)</f>
        <v>-0</v>
      </c>
      <c r="EB62" s="41" t="n">
        <f aca="false">IF(Tasks[[#This Row],[_IsLeaf]]=1,MAX(N(Tasks[[#This Row],[Duration]]),0.1),0)</f>
        <v>0</v>
      </c>
      <c r="EC62" s="41" t="n">
        <f aca="false">Tasks[[#This Row],[_WeightDur]]*Tasks[[#This Row],[_LeafProgress]]</f>
        <v>0</v>
      </c>
      <c r="ED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2" s="41" t="str">
        <f aca="false">IF(AND(Tasks[[#This Row],[_IsLeaf]]=1,N(Tasks[[#This Row],[Duration]])=0,Tasks[[#This Row],[_LeafProgress]]&lt;1),Tasks[[#This Row],[_ShownFcstFinish]]+Tasks[[#This Row],[_Row]]/100000,"")</f>
        <v/>
      </c>
      <c r="EF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2" s="41" t="n">
        <f aca="false">IF(NOT(Tasks[[#This Row],[_IsLeaf]]=1),0,IF(Tasks[[#This Row],[Baseline Cost]]="",Tasks[[#This Row],[_LeafTotalCost]],N(Tasks[[#This Row],[Baseline Cost]])))</f>
        <v>0</v>
      </c>
      <c r="EH62" s="41" t="n">
        <f aca="false">Tasks[[#This Row],[_LeafBudget]]*Tasks[[#This Row],[_PlannedPct]]</f>
        <v>0</v>
      </c>
      <c r="EI62" s="41" t="n">
        <f aca="false">Tasks[[#This Row],[_LeafBudget]]*Tasks[[#This Row],[_LeafProgress]]</f>
        <v>0</v>
      </c>
      <c r="EJ62" s="41" t="n">
        <f aca="false">IF(NOT(Tasks[[#This Row],[_IsLeaf]]=1),0,IF(Tasks[[#This Row],[Actual Cost]]="",Tasks[[#This Row],[_LeafTotalCost]]*Tasks[[#This Row],[_LeafProgress]],N(Tasks[[#This Row],[Actual Cost]])))</f>
        <v>0</v>
      </c>
      <c r="EK62" s="41" t="str">
        <f aca="false">IF(Tasks[[#This Row],[Task Name]]="","",LEFT(Tasks[[#This Row],[WBS]],FIND(".",Tasks[[#This Row],[WBS]]&amp;".")-1))</f>
        <v/>
      </c>
      <c r="EL62" s="41" t="str">
        <f aca="false">IF(AND(Tasks[[#This Row],[Task Name]]&lt;&gt;"",Tasks[[#This Row],[_Level]]=1),Tasks[[#This Row],[_Row]],"")</f>
        <v/>
      </c>
      <c r="EM62" s="41" t="str">
        <f aca="false">IF(AND(Tasks[[#This Row],[_IsLeaf]]=1,N(Tasks[[#This Row],[Duration]])=0),Tasks[[#This Row],[Planned Finish]]+Tasks[[#This Row],[_Row]]/100000,"")</f>
        <v/>
      </c>
      <c r="EN62" s="41" t="str">
        <f aca="false">IF(AND(Tasks[[#This Row],[_IsLeaf]]=1,Tasks[[#This Row],[_LeafProgress]]&lt;1,OR(N(Tasks[[#This Row],[Finish Var]])&gt;0,Tasks[[#This Row],[Status]]="Late Start")),MAX(0,Tasks[[#This Row],[Finish Var]])+1-Tasks[[#This Row],[_Row]]/1000000,"")</f>
        <v/>
      </c>
      <c r="EO62" s="41" t="str">
        <f aca="false">IF(AND(Tasks[[#This Row],[_IsLeaf]]=1,N(Tasks[[#This Row],[Actual Start]])=0,Tasks[[#This Row],[_ShownFcstStart]]&gt;=StatusDate,Tasks[[#This Row],[_ShownFcstStart]]&lt;=LookaheadEnd),Tasks[[#This Row],[_ShownFcstStart]]+Tasks[[#This Row],[_Row]]/100000,"")</f>
        <v/>
      </c>
      <c r="EP62" s="41" t="str">
        <f aca="false">IF(AND(Tasks[[#This Row],[_IsLeaf]]=1,Tasks[[#This Row],[_LeafProgress]]&lt;1,Tasks[[#This Row],[_ShownFcstFinish]]&gt;=StatusDate,Tasks[[#This Row],[_ShownFcstFinish]]&lt;=LookaheadEnd),Tasks[[#This Row],[_ShownFcstFinish]]+Tasks[[#This Row],[_Row]]/100000,"")</f>
        <v/>
      </c>
      <c r="EQ62" s="41" t="str">
        <f aca="false">IF(Tasks[[#This Row],[_LeafCritical]],Tasks[[#This Row],[_ShownFcstStart]]+Tasks[[#This Row],[_Row]]/100000,"")</f>
        <v/>
      </c>
      <c r="ER62" s="41" t="n">
        <f aca="false">Tasks[[#This Row],[_LeafWork]]*Tasks[[#This Row],[_LeafProgress]]</f>
        <v>0</v>
      </c>
      <c r="ES62" s="101" t="str">
        <f aca="false">IF(AND(Tasks[[#This Row],[_IsLeaf]]=1,Tasks[[#This Row],[_LeafProgress]]&gt;=1),IF(N(Tasks[[#This Row],[Actual Finish]])&gt;0,Tasks[[#This Row],[Actual Finish]],Tasks[[#This Row],[_ShownFcstFinish]]),"")</f>
        <v/>
      </c>
      <c r="ET62" s="41" t="n">
        <f aca="false">IF(Tasks[[#This Row],[_IsLeaf]]=1,N(Tasks[[#This Row],[Story Points]]),0)</f>
        <v>0</v>
      </c>
      <c r="EU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29"/>
      <c r="O63" s="29"/>
      <c r="P63" s="29"/>
      <c r="Q63" s="29"/>
      <c r="R63" s="29"/>
      <c r="S63" s="29"/>
      <c r="T63" s="30"/>
      <c r="U63" s="75"/>
      <c r="V63" s="75"/>
      <c r="W63" s="25" t="str">
        <f aca="false">IF(Tasks[[#This Row],[Task Name]]="","",IF(N(Tasks[[#This Row],[Baseline Start]])&gt;0,Tasks[[#This Row],[Baseline Start]],Tasks[[#This Row],[_CalcStart]]))</f>
        <v/>
      </c>
      <c r="X63" s="25" t="str">
        <f aca="false">IF(Tasks[[#This Row],[Task Name]]="","",IF(N(Tasks[[#This Row],[Baseline Finish]])&gt;0,Tasks[[#This Row],[Baseline Finish]],Tasks[[#This Row],[_CalcFinish]]))</f>
        <v/>
      </c>
      <c r="Y63" s="75"/>
      <c r="Z63" s="75"/>
      <c r="AA63" s="25" t="str">
        <f aca="false">IF(Tasks[[#This Row],[Task Name]]="","",IF(Tasks[[#This Row],[_IsSummary]],MIN(INDEX(Tasks[_ShownFcstStart],Tasks[[#This Row],[_Row]]+1):INDEX(Tasks[_ShownFcstStart],Tasks[[#This Row],[_Row]]+Tasks[[#This Row],[_Descendants]])),Tasks[[#This Row],[_ShownFcstStart]]))</f>
        <v/>
      </c>
      <c r="AB63" s="25" t="str">
        <f aca="false">IF(Tasks[[#This Row],[Task Name]]="","",IF(Tasks[[#This Row],[_IsSummary]],MAX(INDEX(Tasks[_ShownFcstFinish],Tasks[[#This Row],[_Row]]+1):INDEX(Tasks[_ShownFcstFinish],Tasks[[#This Row],[_Row]]+Tasks[[#This Row],[_Descendants]])),Tasks[[#This Row],[_ShownFcstFinish]]))</f>
        <v/>
      </c>
      <c r="AC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3" s="25" t="str">
        <f aca="false">IF(Tasks[[#This Row],[Task Name]]="","",IF(Tasks[[#This Row],[_IsSummary]],MIN(INDEX(Tasks[_LeafLateStart],Tasks[[#This Row],[_Row]]+1):INDEX(Tasks[_LeafLateStart],Tasks[[#This Row],[_Row]]+Tasks[[#This Row],[_Descendants]])),Tasks[[#This Row],[_LeafLateStart]]))</f>
        <v/>
      </c>
      <c r="AF63" s="25" t="str">
        <f aca="false">IF(Tasks[[#This Row],[Task Name]]="","",IF(Tasks[[#This Row],[_IsSummary]],MAX(INDEX(Tasks[_LeafLateFinish],Tasks[[#This Row],[_Row]]+1):INDEX(Tasks[_LeafLateFinish],Tasks[[#This Row],[_Row]]+Tasks[[#This Row],[_Descendants]])),Tasks[[#This Row],[_LeafLateFinish]]))</f>
        <v/>
      </c>
      <c r="AG63" s="28" t="str">
        <f aca="false">IF(Tasks[[#This Row],[Task Name]]="","",IF(Tasks[[#This Row],[_IsSummary]],MIN(INDEX(Tasks[_LeafTotalSlack],Tasks[[#This Row],[_Row]]+1):INDEX(Tasks[_LeafTotalSlack],Tasks[[#This Row],[_Row]]+Tasks[[#This Row],[_Descendants]])),Tasks[[#This Row],[_LeafTotalSlack]]))</f>
        <v/>
      </c>
      <c r="AH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3" s="28" t="str">
        <f aca="false">IF(Tasks[[#This Row],[Task Name]]="","",IF(IF(Tasks[[#This Row],[_IsSummary]],COUNTIF(INDEX(Tasks[_LeafCritical],Tasks[[#This Row],[_Row]]+1):INDEX(Tasks[_LeafCritical],Tasks[[#This Row],[_Row]]+Tasks[[#This Row],[_Descendants]]),TRUE())&gt;0,Tasks[[#This Row],[_LeafCritical]]),"Yes",""))</f>
        <v/>
      </c>
      <c r="AJ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3" s="89"/>
      <c r="AM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3" s="28" t="str">
        <f aca="false">IF(Tasks[[#This Row],[Task Name]]="","",IF(Tasks[[#This Row],[Progress]]&gt;=1,"Complete",IF(OR(N(Tasks[[#This Row],[Actual Start]])&gt;0,Tasks[[#This Row],[Progress]]&gt;0),IF(Tasks[[#This Row],[Finish Var]]&gt;0,"Behind","In Progress"),IF(Tasks[[#This Row],[Planned Start]]&lt;StatusDate,"Late Start","Not Started"))))</f>
        <v/>
      </c>
      <c r="AO63" s="30"/>
      <c r="AP63" s="89"/>
      <c r="AQ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3" s="96" t="str">
        <f aca="false">IF(Tasks[[#This Row],[Task Name]]="","",IF(Tasks[[#This Row],[_IsSummary]],SUM(INDEX(Tasks[_LeafTotalWork],Tasks[[#This Row],[_Row]]+1):INDEX(Tasks[_LeafTotalWork],Tasks[[#This Row],[_Row]]+Tasks[[#This Row],[_Descendants]])),Tasks[[#This Row],[_LeafTotalWork]]))</f>
        <v/>
      </c>
      <c r="AT63" s="97" t="str">
        <f aca="false">IF(Tasks[[#This Row],[Task Name]]="","",IF(Tasks[[#This Row],[_IsSummary]],SUM(INDEX(Tasks[_LeafTotalCost],Tasks[[#This Row],[_Row]]+1):INDEX(Tasks[_LeafTotalCost],Tasks[[#This Row],[_Row]]+Tasks[[#This Row],[_Descendants]])),Tasks[[#This Row],[_LeafTotalCost]]))</f>
        <v/>
      </c>
      <c r="AU63" s="98"/>
      <c r="AV63" s="29"/>
      <c r="AW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3" s="83"/>
      <c r="AY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3" s="30"/>
      <c r="BA63" s="25" t="str">
        <f aca="false">IF(Tasks[[#This Row],[Task Name]]="","",Tasks[[#This Row],[Forecast Start]])</f>
        <v/>
      </c>
      <c r="BB63" s="25" t="str">
        <f aca="false">IF(Tasks[[#This Row],[Task Name]]="","",Tasks[[#This Row],[Forecast Finish]])</f>
        <v/>
      </c>
      <c r="BC63" s="28" t="str">
        <f aca="false">IF(Tasks[[#This Row],[Task Name]]="","",IF(Tasks[[#This Row],[_IsSummary]],NETWORKDAYS.INTL(Tasks[[#This Row],[Forecast Start]],Tasks[[#This Row],[Forecast Finish]],WorkWeek,Holidays),N(Tasks[[#This Row],[Duration]])))</f>
        <v/>
      </c>
      <c r="BD63" s="96" t="str">
        <f aca="false">IF(Tasks[[#This Row],[Task Name]]="","",Tasks[[#This Row],[Work]])</f>
        <v/>
      </c>
      <c r="BE63" s="97" t="str">
        <f aca="false">IF(Tasks[[#This Row],[Task Name]]="","",Tasks[[#This Row],[Cost]])</f>
        <v/>
      </c>
      <c r="BF63" s="75"/>
      <c r="BG63" s="75"/>
      <c r="BH63" s="29"/>
      <c r="BI63" s="99"/>
      <c r="BJ63" s="98"/>
      <c r="BK63" s="28" t="str">
        <f aca="false">IF(OR(Tasks[[#This Row],[Task Name]]="",Tasks[[#This Row],[Baseline Duration]]=""),"",Tasks[[#This Row],[BL Source Duration]]-N(Tasks[[#This Row],[Baseline Duration]]))</f>
        <v/>
      </c>
      <c r="BL63" s="96" t="str">
        <f aca="false">IF(OR(Tasks[[#This Row],[Task Name]]="",Tasks[[#This Row],[Baseline Work]]=""),"",Tasks[[#This Row],[Work]]-N(Tasks[[#This Row],[Baseline Work]]))</f>
        <v/>
      </c>
      <c r="BM63" s="97" t="str">
        <f aca="false">IF(OR(Tasks[[#This Row],[Task Name]]="",Tasks[[#This Row],[Baseline Cost]]=""),"",Tasks[[#This Row],[Cost]]-N(Tasks[[#This Row],[Baseline Cost]]))</f>
        <v/>
      </c>
      <c r="BN63" s="97" t="str">
        <f aca="false">IF(Tasks[[#This Row],[Task Name]]="","",IF(Tasks[[#This Row],[_IsSummary]],SUM(INDEX(Tasks[_LeafBudget],Tasks[[#This Row],[_Row]]+1):INDEX(Tasks[_LeafBudget],Tasks[[#This Row],[_Row]]+Tasks[[#This Row],[_Descendants]])),Tasks[[#This Row],[_LeafBudget]]))</f>
        <v/>
      </c>
      <c r="BO63" s="97" t="str">
        <f aca="false">IF(Tasks[[#This Row],[Task Name]]="","",IF(Tasks[[#This Row],[_IsSummary]],SUM(INDEX(Tasks[_LeafPV],Tasks[[#This Row],[_Row]]+1):INDEX(Tasks[_LeafPV],Tasks[[#This Row],[_Row]]+Tasks[[#This Row],[_Descendants]])),Tasks[[#This Row],[_LeafPV]]))</f>
        <v/>
      </c>
      <c r="BP63" s="97" t="str">
        <f aca="false">IF(Tasks[[#This Row],[Task Name]]="","",IF(Tasks[[#This Row],[_IsSummary]],SUM(INDEX(Tasks[_LeafEV],Tasks[[#This Row],[_Row]]+1):INDEX(Tasks[_LeafEV],Tasks[[#This Row],[_Row]]+Tasks[[#This Row],[_Descendants]])),Tasks[[#This Row],[_LeafEV]]))</f>
        <v/>
      </c>
      <c r="BQ63" s="97" t="str">
        <f aca="false">IF(Tasks[[#This Row],[Task Name]]="","",IF(Tasks[[#This Row],[_IsSummary]],SUM(INDEX(Tasks[_LeafAC],Tasks[[#This Row],[_Row]]+1):INDEX(Tasks[_LeafAC],Tasks[[#This Row],[_Row]]+Tasks[[#This Row],[_Descendants]])),Tasks[[#This Row],[_LeafAC]]))</f>
        <v/>
      </c>
      <c r="BR63" s="41" t="str">
        <f aca="false">IF(Tasks[[#This Row],[Task Name]]="","",MAX(1,N(Tasks[[#This Row],[Level]])))</f>
        <v/>
      </c>
      <c r="BS63" s="41" t="n">
        <f aca="false">ROW()-ROW(Tasks[[#Headers],[ID]])</f>
        <v>58</v>
      </c>
      <c r="BT63" s="41" t="n">
        <f aca="false">IF(OR(Tasks[[#This Row],[Task Name]]="",Tasks[[#This Row],[_Level]]&lt;=1),0,IFERROR(LOOKUP(2,1/(Tasks[[#Headers],[_Level]]:Tasks[[#This Row],[_Level]]=Tasks[[#This Row],[_Level]]-1),ROW(Tasks[[#Headers],[_Level]]:Tasks[[#This Row],[_Level]])),0))</f>
        <v>0</v>
      </c>
      <c r="BU63" s="41" t="n">
        <f aca="false">IFERROR(N(INDEX(Tasks[_Level],Tasks[[#This Row],[_Row]]+1)),0)</f>
        <v>0</v>
      </c>
      <c r="BV63" s="100" t="b">
        <f aca="false">AND(Tasks[[#This Row],[Task Name]]&lt;&gt;"",Tasks[[#This Row],[_NextLevel]]&gt;Tasks[[#This Row],[_Level]])</f>
        <v>0</v>
      </c>
      <c r="BW63" s="41" t="n">
        <f aca="false">IF(Tasks[[#This Row],[_IsSummary]],COUNTIF(Tasks[WBS],Tasks[[#This Row],[WBS]]&amp;".*"),0)</f>
        <v>0</v>
      </c>
      <c r="BX63" s="41" t="n">
        <f aca="false">IF(AND(Tasks[[#This Row],[Task Name]]&lt;&gt;"",NOT(Tasks[[#This Row],[_IsSummary]])),1,0)</f>
        <v>0</v>
      </c>
      <c r="BY63" s="41" t="n">
        <f aca="false">IF(N(Tasks[[#This Row],[Pred1 UID]])=0,0,IFERROR(MATCH(Tasks[[#This Row],[Pred1 UID]],Tasks[UID],0),-1))</f>
        <v>0</v>
      </c>
      <c r="BZ63" s="41" t="n">
        <f aca="false">IF(N(Tasks[[#This Row],[Pred2 UID]])=0,0,IFERROR(MATCH(Tasks[[#This Row],[Pred2 UID]],Tasks[UID],0),-1))</f>
        <v>0</v>
      </c>
      <c r="CA63" s="41" t="n">
        <f aca="false">IF(N(Tasks[[#This Row],[Pred3 UID]])=0,0,IFERROR(MATCH(Tasks[[#This Row],[Pred3 UID]],Tasks[UID],0),-1))</f>
        <v>0</v>
      </c>
      <c r="CB63" s="41" t="n">
        <f aca="false">IF(N(Tasks[[#This Row],[Pred4 UID]])=0,0,IFERROR(MATCH(Tasks[[#This Row],[Pred4 UID]],Tasks[UID],0),-1))</f>
        <v>0</v>
      </c>
      <c r="CC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3" s="101" t="n">
        <f aca="false">IF(OR(Tasks[[#This Row],[_ConstraintCode]]=2,Tasks[[#This Row],[_ConstraintCode]]=3,Tasks[[#This Row],[_ConstraintCode]]=4,Tasks[[#This Row],[_ConstraintCode]]=6),Tasks[[#This Row],[_ConstraintStart]],0)</f>
        <v>0</v>
      </c>
      <c r="CF63" s="101" t="n">
        <f aca="false">IF(OR(Tasks[[#This Row],[_ConstraintCode]]=2,Tasks[[#This Row],[_ConstraintCode]]=3,Tasks[[#This Row],[_ConstraintCode]]=5,Tasks[[#This Row],[_ConstraintCode]]=7),Tasks[[#This Row],[_ConstraintStart]],2958465)</f>
        <v>2958465</v>
      </c>
      <c r="CG6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3" s="101" t="str">
        <f aca="false">IF(NOT(Tasks[[#This Row],[_IsLeaf]]=1),"",IF(N(Tasks[[#This Row],[Duration]])&lt;=0,Tasks[[#This Row],[_LeafCalcStart]],WORKDAY.INTL(Tasks[[#This Row],[_LeafCalcStart]],Tasks[[#This Row],[Duration]]-1,WorkWeek,Holidays)))</f>
        <v/>
      </c>
      <c r="CI6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3" s="41" t="n">
        <f aca="false">IF(NOT(Tasks[[#This Row],[_IsLeaf]]=1),0,IF(N(Tasks[[#This Row],[Actual Finish]])&gt;0,1,MIN(1,N(Tasks[[#This Row],[% Complete]]))))</f>
        <v>0</v>
      </c>
      <c r="CL63" s="41" t="n">
        <f aca="false">IF(OR(NOT(Tasks[[#This Row],[_IsLeaf]]=1),Tasks[[#This Row],[Resource]]=""),0,N(Tasks[[#This Row],[Duration]])*HoursPerDay*IF(Tasks[[#This Row],[Units]]="",DefaultUnits,Tasks[[#This Row],[Units]]))</f>
        <v>0</v>
      </c>
      <c r="CM63" s="41" t="n">
        <f aca="false">IF(Tasks[[#This Row],[_LeafWork]]=0,0,Tasks[[#This Row],[_LeafWork]]*IFERROR(INDEX(res_Rate,MATCH(Tasks[[#This Row],[Resource]],res_Name,0)),0))</f>
        <v>0</v>
      </c>
      <c r="CN63" s="41" t="n">
        <f aca="false">Tasks[[#This Row],[_LeafWork]]+IF(Tasks[[#This Row],[_IsLeaf]]=1,SUMIFS(asg_Work,asg_TaskUID,Tasks[[#This Row],[UID]],asg_Valid,1),0)</f>
        <v>0</v>
      </c>
      <c r="CO63" s="41" t="n">
        <f aca="false">Tasks[[#This Row],[_LeafCost]]+IF(Tasks[[#This Row],[_IsLeaf]]=1,SUMIFS(asg_Cost,asg_TaskUID,Tasks[[#This Row],[UID]],asg_Valid,1),0)</f>
        <v>0</v>
      </c>
      <c r="CP63" s="41" t="n">
        <f aca="false">IF(Tasks[[#This Row],[_LeafTotalCost]]=0,Tasks[[#This Row],[_LeafAC]],Tasks[[#This Row],[_LeafAC]]*Tasks[[#This Row],[_LeafCost]]/Tasks[[#This Row],[_LeafTotalCost]])</f>
        <v>0</v>
      </c>
      <c r="CQ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3" s="41" t="n">
        <f aca="false">IF(NOT(Tasks[[#This Row],[_IsLeaf]]=1),0,MAX(_xlfn.MAXIFS(Tasks[_Row],Tasks[Pred1 UID],Tasks[[#This Row],[UID]]),_xlfn.MAXIFS(Tasks[_Row],Tasks[Pred2 UID],Tasks[[#This Row],[UID]]),_xlfn.MAXIFS(Tasks[_Row],Tasks[Pred3 UID],Tasks[[#This Row],[UID]]),_xlfn.MAXIFS(Tasks[_Row],Tasks[Pred4 UID],Tasks[[#This Row],[UID]])))</f>
        <v>0</v>
      </c>
      <c r="CZ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3" s="101" t="str">
        <f aca="false">IF(NOT(Tasks[[#This Row],[_IsLeaf]]=1),"",IF(N(Tasks[[#This Row],[Duration]])&lt;=0,Tasks[[#This Row],[_LeafLateFinish]],WORKDAY.INTL(Tasks[[#This Row],[_LeafLateFinish]],-(Tasks[[#This Row],[Duration]]-1),WorkWeek,Holidays)))</f>
        <v/>
      </c>
      <c r="DC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3" s="100" t="b">
        <f aca="false">AND(Tasks[[#This Row],[_IsLeaf]]=1,Tasks[[#This Row],[_LeafProgress]]&lt;1,N(Tasks[[#This Row],[_LeafTotalSlack]])&lt;=CriticalSlackDays)</f>
        <v>0</v>
      </c>
      <c r="DE63" s="41" t="n">
        <f aca="false">IF(AND(Tasks[[#This Row],[_IsLeaf]]=1,Tasks[[#This Row],[_ConstraintCode]]=1,Tasks[[#This Row],[Mode]]&lt;&gt;"Manual",N(Tasks[[#This Row],[Actual Start]])=0),MAX(0,N(Tasks[[#This Row],[Free Slack]])),0)</f>
        <v>0</v>
      </c>
      <c r="DF63" s="101" t="str">
        <f aca="false">IF(NOT(Tasks[[#This Row],[_IsLeaf]]=1),"",IF(Tasks[[#This Row],[_AlapShift]]=0,Tasks[[#This Row],[_LeafCalcStart]],WORKDAY.INTL(Tasks[[#This Row],[_LeafCalcStart]],Tasks[[#This Row],[_AlapShift]],WorkWeek,Holidays)))</f>
        <v/>
      </c>
      <c r="DG63" s="101" t="str">
        <f aca="false">IF(NOT(Tasks[[#This Row],[_IsLeaf]]=1),"",IF(Tasks[[#This Row],[_AlapShift]]=0,Tasks[[#This Row],[_LeafCalcFinish]],WORKDAY.INTL(Tasks[[#This Row],[_LeafCalcFinish]],Tasks[[#This Row],[_AlapShift]],WorkWeek,Holidays)))</f>
        <v/>
      </c>
      <c r="DH63" s="101" t="str">
        <f aca="false">IF(NOT(Tasks[[#This Row],[_IsLeaf]]=1),"",IF(Tasks[[#This Row],[_AlapShift]]=0,Tasks[[#This Row],[_LeafFcstStart]],WORKDAY.INTL(Tasks[[#This Row],[_LeafFcstStart]],Tasks[[#This Row],[_AlapShift]],WorkWeek,Holidays)))</f>
        <v/>
      </c>
      <c r="DI63" s="101" t="str">
        <f aca="false">IF(NOT(Tasks[[#This Row],[_IsLeaf]]=1),"",IF(Tasks[[#This Row],[_AlapShift]]=0,Tasks[[#This Row],[_LeafFcstFinish]],WORKDAY.INTL(Tasks[[#This Row],[_LeafFcstFinish]],Tasks[[#This Row],[_AlapShift]],WorkWeek,Holidays)))</f>
        <v/>
      </c>
      <c r="DJ63" s="101" t="str">
        <f aca="false">IF(Tasks[[#This Row],[Task Name]]="","",IF(Tasks[[#This Row],[_IsSummary]],MIN(INDEX(Tasks[_ShownCalcStart],Tasks[[#This Row],[_Row]]+1):INDEX(Tasks[_ShownCalcStart],Tasks[[#This Row],[_Row]]+Tasks[[#This Row],[_Descendants]])),Tasks[[#This Row],[_ShownCalcStart]]))</f>
        <v/>
      </c>
      <c r="DK63" s="101" t="str">
        <f aca="false">IF(Tasks[[#This Row],[Task Name]]="","",IF(Tasks[[#This Row],[_IsSummary]],MAX(INDEX(Tasks[_ShownCalcFinish],Tasks[[#This Row],[_Row]]+1):INDEX(Tasks[_ShownCalcFinish],Tasks[[#This Row],[_Row]]+Tasks[[#This Row],[_Descendants]])),Tasks[[#This Row],[_ShownCalcFinish]]))</f>
        <v/>
      </c>
      <c r="D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3" s="41" t="n">
        <f aca="false">IF(AND(Tasks[[#This Row],[_IsLeaf]]=1,Tasks[[#This Row],[_LeafTotalWork]]&gt;0),NETWORKDAYS.INTL(ProjectStart,Tasks[[#This Row],[_ShownFcstStart]],WorkWeek,Holidays),0)</f>
        <v>0</v>
      </c>
      <c r="DY63" s="41" t="n">
        <f aca="false">IF(AND(Tasks[[#This Row],[_IsLeaf]]=1,Tasks[[#This Row],[_LeafTotalWork]]&gt;0),MAX(Tasks[[#This Row],[_StartWorkday]],NETWORKDAYS.INTL(ProjectStart,Tasks[[#This Row],[_ShownFcstFinish]],WorkWeek,Holidays)),0)</f>
        <v>0</v>
      </c>
      <c r="DZ63" s="41" t="n">
        <f aca="false">IF(AND(Tasks[[#This Row],[_IsLeaf]]=1,Tasks[[#This Row],[_LeafTotalWork]]&gt;0),Tasks[[#This Row],[_LeafWork]]/(Tasks[[#This Row],[_FinishWorkday]]-Tasks[[#This Row],[_StartWorkday]]+1),0)</f>
        <v>0</v>
      </c>
      <c r="EA63" s="41" t="n">
        <f aca="false">Tasks[[#This Row],[_WorkPerWorkday]]*(Tasks[[#This Row],[_StartWorkday]]-1)</f>
        <v>-0</v>
      </c>
      <c r="EB63" s="41" t="n">
        <f aca="false">IF(Tasks[[#This Row],[_IsLeaf]]=1,MAX(N(Tasks[[#This Row],[Duration]]),0.1),0)</f>
        <v>0</v>
      </c>
      <c r="EC63" s="41" t="n">
        <f aca="false">Tasks[[#This Row],[_WeightDur]]*Tasks[[#This Row],[_LeafProgress]]</f>
        <v>0</v>
      </c>
      <c r="ED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3" s="41" t="str">
        <f aca="false">IF(AND(Tasks[[#This Row],[_IsLeaf]]=1,N(Tasks[[#This Row],[Duration]])=0,Tasks[[#This Row],[_LeafProgress]]&lt;1),Tasks[[#This Row],[_ShownFcstFinish]]+Tasks[[#This Row],[_Row]]/100000,"")</f>
        <v/>
      </c>
      <c r="EF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3" s="41" t="n">
        <f aca="false">IF(NOT(Tasks[[#This Row],[_IsLeaf]]=1),0,IF(Tasks[[#This Row],[Baseline Cost]]="",Tasks[[#This Row],[_LeafTotalCost]],N(Tasks[[#This Row],[Baseline Cost]])))</f>
        <v>0</v>
      </c>
      <c r="EH63" s="41" t="n">
        <f aca="false">Tasks[[#This Row],[_LeafBudget]]*Tasks[[#This Row],[_PlannedPct]]</f>
        <v>0</v>
      </c>
      <c r="EI63" s="41" t="n">
        <f aca="false">Tasks[[#This Row],[_LeafBudget]]*Tasks[[#This Row],[_LeafProgress]]</f>
        <v>0</v>
      </c>
      <c r="EJ63" s="41" t="n">
        <f aca="false">IF(NOT(Tasks[[#This Row],[_IsLeaf]]=1),0,IF(Tasks[[#This Row],[Actual Cost]]="",Tasks[[#This Row],[_LeafTotalCost]]*Tasks[[#This Row],[_LeafProgress]],N(Tasks[[#This Row],[Actual Cost]])))</f>
        <v>0</v>
      </c>
      <c r="EK63" s="41" t="str">
        <f aca="false">IF(Tasks[[#This Row],[Task Name]]="","",LEFT(Tasks[[#This Row],[WBS]],FIND(".",Tasks[[#This Row],[WBS]]&amp;".")-1))</f>
        <v/>
      </c>
      <c r="EL63" s="41" t="str">
        <f aca="false">IF(AND(Tasks[[#This Row],[Task Name]]&lt;&gt;"",Tasks[[#This Row],[_Level]]=1),Tasks[[#This Row],[_Row]],"")</f>
        <v/>
      </c>
      <c r="EM63" s="41" t="str">
        <f aca="false">IF(AND(Tasks[[#This Row],[_IsLeaf]]=1,N(Tasks[[#This Row],[Duration]])=0),Tasks[[#This Row],[Planned Finish]]+Tasks[[#This Row],[_Row]]/100000,"")</f>
        <v/>
      </c>
      <c r="EN63" s="41" t="str">
        <f aca="false">IF(AND(Tasks[[#This Row],[_IsLeaf]]=1,Tasks[[#This Row],[_LeafProgress]]&lt;1,OR(N(Tasks[[#This Row],[Finish Var]])&gt;0,Tasks[[#This Row],[Status]]="Late Start")),MAX(0,Tasks[[#This Row],[Finish Var]])+1-Tasks[[#This Row],[_Row]]/1000000,"")</f>
        <v/>
      </c>
      <c r="EO63" s="41" t="str">
        <f aca="false">IF(AND(Tasks[[#This Row],[_IsLeaf]]=1,N(Tasks[[#This Row],[Actual Start]])=0,Tasks[[#This Row],[_ShownFcstStart]]&gt;=StatusDate,Tasks[[#This Row],[_ShownFcstStart]]&lt;=LookaheadEnd),Tasks[[#This Row],[_ShownFcstStart]]+Tasks[[#This Row],[_Row]]/100000,"")</f>
        <v/>
      </c>
      <c r="EP63" s="41" t="str">
        <f aca="false">IF(AND(Tasks[[#This Row],[_IsLeaf]]=1,Tasks[[#This Row],[_LeafProgress]]&lt;1,Tasks[[#This Row],[_ShownFcstFinish]]&gt;=StatusDate,Tasks[[#This Row],[_ShownFcstFinish]]&lt;=LookaheadEnd),Tasks[[#This Row],[_ShownFcstFinish]]+Tasks[[#This Row],[_Row]]/100000,"")</f>
        <v/>
      </c>
      <c r="EQ63" s="41" t="str">
        <f aca="false">IF(Tasks[[#This Row],[_LeafCritical]],Tasks[[#This Row],[_ShownFcstStart]]+Tasks[[#This Row],[_Row]]/100000,"")</f>
        <v/>
      </c>
      <c r="ER63" s="41" t="n">
        <f aca="false">Tasks[[#This Row],[_LeafWork]]*Tasks[[#This Row],[_LeafProgress]]</f>
        <v>0</v>
      </c>
      <c r="ES63" s="101" t="str">
        <f aca="false">IF(AND(Tasks[[#This Row],[_IsLeaf]]=1,Tasks[[#This Row],[_LeafProgress]]&gt;=1),IF(N(Tasks[[#This Row],[Actual Finish]])&gt;0,Tasks[[#This Row],[Actual Finish]],Tasks[[#This Row],[_ShownFcstFinish]]),"")</f>
        <v/>
      </c>
      <c r="ET63" s="41" t="n">
        <f aca="false">IF(Tasks[[#This Row],[_IsLeaf]]=1,N(Tasks[[#This Row],[Story Points]]),0)</f>
        <v>0</v>
      </c>
      <c r="EU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29"/>
      <c r="O64" s="29"/>
      <c r="P64" s="29"/>
      <c r="Q64" s="29"/>
      <c r="R64" s="29"/>
      <c r="S64" s="29"/>
      <c r="T64" s="30"/>
      <c r="U64" s="75"/>
      <c r="V64" s="75"/>
      <c r="W64" s="25" t="str">
        <f aca="false">IF(Tasks[[#This Row],[Task Name]]="","",IF(N(Tasks[[#This Row],[Baseline Start]])&gt;0,Tasks[[#This Row],[Baseline Start]],Tasks[[#This Row],[_CalcStart]]))</f>
        <v/>
      </c>
      <c r="X64" s="25" t="str">
        <f aca="false">IF(Tasks[[#This Row],[Task Name]]="","",IF(N(Tasks[[#This Row],[Baseline Finish]])&gt;0,Tasks[[#This Row],[Baseline Finish]],Tasks[[#This Row],[_CalcFinish]]))</f>
        <v/>
      </c>
      <c r="Y64" s="75"/>
      <c r="Z64" s="75"/>
      <c r="AA64" s="25" t="str">
        <f aca="false">IF(Tasks[[#This Row],[Task Name]]="","",IF(Tasks[[#This Row],[_IsSummary]],MIN(INDEX(Tasks[_ShownFcstStart],Tasks[[#This Row],[_Row]]+1):INDEX(Tasks[_ShownFcstStart],Tasks[[#This Row],[_Row]]+Tasks[[#This Row],[_Descendants]])),Tasks[[#This Row],[_ShownFcstStart]]))</f>
        <v/>
      </c>
      <c r="AB64" s="25" t="str">
        <f aca="false">IF(Tasks[[#This Row],[Task Name]]="","",IF(Tasks[[#This Row],[_IsSummary]],MAX(INDEX(Tasks[_ShownFcstFinish],Tasks[[#This Row],[_Row]]+1):INDEX(Tasks[_ShownFcstFinish],Tasks[[#This Row],[_Row]]+Tasks[[#This Row],[_Descendants]])),Tasks[[#This Row],[_ShownFcstFinish]]))</f>
        <v/>
      </c>
      <c r="AC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4" s="25" t="str">
        <f aca="false">IF(Tasks[[#This Row],[Task Name]]="","",IF(Tasks[[#This Row],[_IsSummary]],MIN(INDEX(Tasks[_LeafLateStart],Tasks[[#This Row],[_Row]]+1):INDEX(Tasks[_LeafLateStart],Tasks[[#This Row],[_Row]]+Tasks[[#This Row],[_Descendants]])),Tasks[[#This Row],[_LeafLateStart]]))</f>
        <v/>
      </c>
      <c r="AF64" s="25" t="str">
        <f aca="false">IF(Tasks[[#This Row],[Task Name]]="","",IF(Tasks[[#This Row],[_IsSummary]],MAX(INDEX(Tasks[_LeafLateFinish],Tasks[[#This Row],[_Row]]+1):INDEX(Tasks[_LeafLateFinish],Tasks[[#This Row],[_Row]]+Tasks[[#This Row],[_Descendants]])),Tasks[[#This Row],[_LeafLateFinish]]))</f>
        <v/>
      </c>
      <c r="AG64" s="28" t="str">
        <f aca="false">IF(Tasks[[#This Row],[Task Name]]="","",IF(Tasks[[#This Row],[_IsSummary]],MIN(INDEX(Tasks[_LeafTotalSlack],Tasks[[#This Row],[_Row]]+1):INDEX(Tasks[_LeafTotalSlack],Tasks[[#This Row],[_Row]]+Tasks[[#This Row],[_Descendants]])),Tasks[[#This Row],[_LeafTotalSlack]]))</f>
        <v/>
      </c>
      <c r="AH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4" s="28" t="str">
        <f aca="false">IF(Tasks[[#This Row],[Task Name]]="","",IF(IF(Tasks[[#This Row],[_IsSummary]],COUNTIF(INDEX(Tasks[_LeafCritical],Tasks[[#This Row],[_Row]]+1):INDEX(Tasks[_LeafCritical],Tasks[[#This Row],[_Row]]+Tasks[[#This Row],[_Descendants]]),TRUE())&gt;0,Tasks[[#This Row],[_LeafCritical]]),"Yes",""))</f>
        <v/>
      </c>
      <c r="AJ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4" s="89"/>
      <c r="AM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4" s="28" t="str">
        <f aca="false">IF(Tasks[[#This Row],[Task Name]]="","",IF(Tasks[[#This Row],[Progress]]&gt;=1,"Complete",IF(OR(N(Tasks[[#This Row],[Actual Start]])&gt;0,Tasks[[#This Row],[Progress]]&gt;0),IF(Tasks[[#This Row],[Finish Var]]&gt;0,"Behind","In Progress"),IF(Tasks[[#This Row],[Planned Start]]&lt;StatusDate,"Late Start","Not Started"))))</f>
        <v/>
      </c>
      <c r="AO64" s="30"/>
      <c r="AP64" s="89"/>
      <c r="AQ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4" s="96" t="str">
        <f aca="false">IF(Tasks[[#This Row],[Task Name]]="","",IF(Tasks[[#This Row],[_IsSummary]],SUM(INDEX(Tasks[_LeafTotalWork],Tasks[[#This Row],[_Row]]+1):INDEX(Tasks[_LeafTotalWork],Tasks[[#This Row],[_Row]]+Tasks[[#This Row],[_Descendants]])),Tasks[[#This Row],[_LeafTotalWork]]))</f>
        <v/>
      </c>
      <c r="AT64" s="97" t="str">
        <f aca="false">IF(Tasks[[#This Row],[Task Name]]="","",IF(Tasks[[#This Row],[_IsSummary]],SUM(INDEX(Tasks[_LeafTotalCost],Tasks[[#This Row],[_Row]]+1):INDEX(Tasks[_LeafTotalCost],Tasks[[#This Row],[_Row]]+Tasks[[#This Row],[_Descendants]])),Tasks[[#This Row],[_LeafTotalCost]]))</f>
        <v/>
      </c>
      <c r="AU64" s="98"/>
      <c r="AV64" s="29"/>
      <c r="AW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4" s="83"/>
      <c r="AY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4" s="30"/>
      <c r="BA64" s="25" t="str">
        <f aca="false">IF(Tasks[[#This Row],[Task Name]]="","",Tasks[[#This Row],[Forecast Start]])</f>
        <v/>
      </c>
      <c r="BB64" s="25" t="str">
        <f aca="false">IF(Tasks[[#This Row],[Task Name]]="","",Tasks[[#This Row],[Forecast Finish]])</f>
        <v/>
      </c>
      <c r="BC64" s="28" t="str">
        <f aca="false">IF(Tasks[[#This Row],[Task Name]]="","",IF(Tasks[[#This Row],[_IsSummary]],NETWORKDAYS.INTL(Tasks[[#This Row],[Forecast Start]],Tasks[[#This Row],[Forecast Finish]],WorkWeek,Holidays),N(Tasks[[#This Row],[Duration]])))</f>
        <v/>
      </c>
      <c r="BD64" s="96" t="str">
        <f aca="false">IF(Tasks[[#This Row],[Task Name]]="","",Tasks[[#This Row],[Work]])</f>
        <v/>
      </c>
      <c r="BE64" s="97" t="str">
        <f aca="false">IF(Tasks[[#This Row],[Task Name]]="","",Tasks[[#This Row],[Cost]])</f>
        <v/>
      </c>
      <c r="BF64" s="75"/>
      <c r="BG64" s="75"/>
      <c r="BH64" s="29"/>
      <c r="BI64" s="99"/>
      <c r="BJ64" s="98"/>
      <c r="BK64" s="28" t="str">
        <f aca="false">IF(OR(Tasks[[#This Row],[Task Name]]="",Tasks[[#This Row],[Baseline Duration]]=""),"",Tasks[[#This Row],[BL Source Duration]]-N(Tasks[[#This Row],[Baseline Duration]]))</f>
        <v/>
      </c>
      <c r="BL64" s="96" t="str">
        <f aca="false">IF(OR(Tasks[[#This Row],[Task Name]]="",Tasks[[#This Row],[Baseline Work]]=""),"",Tasks[[#This Row],[Work]]-N(Tasks[[#This Row],[Baseline Work]]))</f>
        <v/>
      </c>
      <c r="BM64" s="97" t="str">
        <f aca="false">IF(OR(Tasks[[#This Row],[Task Name]]="",Tasks[[#This Row],[Baseline Cost]]=""),"",Tasks[[#This Row],[Cost]]-N(Tasks[[#This Row],[Baseline Cost]]))</f>
        <v/>
      </c>
      <c r="BN64" s="97" t="str">
        <f aca="false">IF(Tasks[[#This Row],[Task Name]]="","",IF(Tasks[[#This Row],[_IsSummary]],SUM(INDEX(Tasks[_LeafBudget],Tasks[[#This Row],[_Row]]+1):INDEX(Tasks[_LeafBudget],Tasks[[#This Row],[_Row]]+Tasks[[#This Row],[_Descendants]])),Tasks[[#This Row],[_LeafBudget]]))</f>
        <v/>
      </c>
      <c r="BO64" s="97" t="str">
        <f aca="false">IF(Tasks[[#This Row],[Task Name]]="","",IF(Tasks[[#This Row],[_IsSummary]],SUM(INDEX(Tasks[_LeafPV],Tasks[[#This Row],[_Row]]+1):INDEX(Tasks[_LeafPV],Tasks[[#This Row],[_Row]]+Tasks[[#This Row],[_Descendants]])),Tasks[[#This Row],[_LeafPV]]))</f>
        <v/>
      </c>
      <c r="BP64" s="97" t="str">
        <f aca="false">IF(Tasks[[#This Row],[Task Name]]="","",IF(Tasks[[#This Row],[_IsSummary]],SUM(INDEX(Tasks[_LeafEV],Tasks[[#This Row],[_Row]]+1):INDEX(Tasks[_LeafEV],Tasks[[#This Row],[_Row]]+Tasks[[#This Row],[_Descendants]])),Tasks[[#This Row],[_LeafEV]]))</f>
        <v/>
      </c>
      <c r="BQ64" s="97" t="str">
        <f aca="false">IF(Tasks[[#This Row],[Task Name]]="","",IF(Tasks[[#This Row],[_IsSummary]],SUM(INDEX(Tasks[_LeafAC],Tasks[[#This Row],[_Row]]+1):INDEX(Tasks[_LeafAC],Tasks[[#This Row],[_Row]]+Tasks[[#This Row],[_Descendants]])),Tasks[[#This Row],[_LeafAC]]))</f>
        <v/>
      </c>
      <c r="BR64" s="41" t="str">
        <f aca="false">IF(Tasks[[#This Row],[Task Name]]="","",MAX(1,N(Tasks[[#This Row],[Level]])))</f>
        <v/>
      </c>
      <c r="BS64" s="41" t="n">
        <f aca="false">ROW()-ROW(Tasks[[#Headers],[ID]])</f>
        <v>59</v>
      </c>
      <c r="BT64" s="41" t="n">
        <f aca="false">IF(OR(Tasks[[#This Row],[Task Name]]="",Tasks[[#This Row],[_Level]]&lt;=1),0,IFERROR(LOOKUP(2,1/(Tasks[[#Headers],[_Level]]:Tasks[[#This Row],[_Level]]=Tasks[[#This Row],[_Level]]-1),ROW(Tasks[[#Headers],[_Level]]:Tasks[[#This Row],[_Level]])),0))</f>
        <v>0</v>
      </c>
      <c r="BU64" s="41" t="n">
        <f aca="false">IFERROR(N(INDEX(Tasks[_Level],Tasks[[#This Row],[_Row]]+1)),0)</f>
        <v>0</v>
      </c>
      <c r="BV64" s="100" t="b">
        <f aca="false">AND(Tasks[[#This Row],[Task Name]]&lt;&gt;"",Tasks[[#This Row],[_NextLevel]]&gt;Tasks[[#This Row],[_Level]])</f>
        <v>0</v>
      </c>
      <c r="BW64" s="41" t="n">
        <f aca="false">IF(Tasks[[#This Row],[_IsSummary]],COUNTIF(Tasks[WBS],Tasks[[#This Row],[WBS]]&amp;".*"),0)</f>
        <v>0</v>
      </c>
      <c r="BX64" s="41" t="n">
        <f aca="false">IF(AND(Tasks[[#This Row],[Task Name]]&lt;&gt;"",NOT(Tasks[[#This Row],[_IsSummary]])),1,0)</f>
        <v>0</v>
      </c>
      <c r="BY64" s="41" t="n">
        <f aca="false">IF(N(Tasks[[#This Row],[Pred1 UID]])=0,0,IFERROR(MATCH(Tasks[[#This Row],[Pred1 UID]],Tasks[UID],0),-1))</f>
        <v>0</v>
      </c>
      <c r="BZ64" s="41" t="n">
        <f aca="false">IF(N(Tasks[[#This Row],[Pred2 UID]])=0,0,IFERROR(MATCH(Tasks[[#This Row],[Pred2 UID]],Tasks[UID],0),-1))</f>
        <v>0</v>
      </c>
      <c r="CA64" s="41" t="n">
        <f aca="false">IF(N(Tasks[[#This Row],[Pred3 UID]])=0,0,IFERROR(MATCH(Tasks[[#This Row],[Pred3 UID]],Tasks[UID],0),-1))</f>
        <v>0</v>
      </c>
      <c r="CB64" s="41" t="n">
        <f aca="false">IF(N(Tasks[[#This Row],[Pred4 UID]])=0,0,IFERROR(MATCH(Tasks[[#This Row],[Pred4 UID]],Tasks[UID],0),-1))</f>
        <v>0</v>
      </c>
      <c r="CC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4" s="101" t="n">
        <f aca="false">IF(OR(Tasks[[#This Row],[_ConstraintCode]]=2,Tasks[[#This Row],[_ConstraintCode]]=3,Tasks[[#This Row],[_ConstraintCode]]=4,Tasks[[#This Row],[_ConstraintCode]]=6),Tasks[[#This Row],[_ConstraintStart]],0)</f>
        <v>0</v>
      </c>
      <c r="CF64" s="101" t="n">
        <f aca="false">IF(OR(Tasks[[#This Row],[_ConstraintCode]]=2,Tasks[[#This Row],[_ConstraintCode]]=3,Tasks[[#This Row],[_ConstraintCode]]=5,Tasks[[#This Row],[_ConstraintCode]]=7),Tasks[[#This Row],[_ConstraintStart]],2958465)</f>
        <v>2958465</v>
      </c>
      <c r="CG6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4" s="101" t="str">
        <f aca="false">IF(NOT(Tasks[[#This Row],[_IsLeaf]]=1),"",IF(N(Tasks[[#This Row],[Duration]])&lt;=0,Tasks[[#This Row],[_LeafCalcStart]],WORKDAY.INTL(Tasks[[#This Row],[_LeafCalcStart]],Tasks[[#This Row],[Duration]]-1,WorkWeek,Holidays)))</f>
        <v/>
      </c>
      <c r="CI6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4" s="41" t="n">
        <f aca="false">IF(NOT(Tasks[[#This Row],[_IsLeaf]]=1),0,IF(N(Tasks[[#This Row],[Actual Finish]])&gt;0,1,MIN(1,N(Tasks[[#This Row],[% Complete]]))))</f>
        <v>0</v>
      </c>
      <c r="CL64" s="41" t="n">
        <f aca="false">IF(OR(NOT(Tasks[[#This Row],[_IsLeaf]]=1),Tasks[[#This Row],[Resource]]=""),0,N(Tasks[[#This Row],[Duration]])*HoursPerDay*IF(Tasks[[#This Row],[Units]]="",DefaultUnits,Tasks[[#This Row],[Units]]))</f>
        <v>0</v>
      </c>
      <c r="CM64" s="41" t="n">
        <f aca="false">IF(Tasks[[#This Row],[_LeafWork]]=0,0,Tasks[[#This Row],[_LeafWork]]*IFERROR(INDEX(res_Rate,MATCH(Tasks[[#This Row],[Resource]],res_Name,0)),0))</f>
        <v>0</v>
      </c>
      <c r="CN64" s="41" t="n">
        <f aca="false">Tasks[[#This Row],[_LeafWork]]+IF(Tasks[[#This Row],[_IsLeaf]]=1,SUMIFS(asg_Work,asg_TaskUID,Tasks[[#This Row],[UID]],asg_Valid,1),0)</f>
        <v>0</v>
      </c>
      <c r="CO64" s="41" t="n">
        <f aca="false">Tasks[[#This Row],[_LeafCost]]+IF(Tasks[[#This Row],[_IsLeaf]]=1,SUMIFS(asg_Cost,asg_TaskUID,Tasks[[#This Row],[UID]],asg_Valid,1),0)</f>
        <v>0</v>
      </c>
      <c r="CP64" s="41" t="n">
        <f aca="false">IF(Tasks[[#This Row],[_LeafTotalCost]]=0,Tasks[[#This Row],[_LeafAC]],Tasks[[#This Row],[_LeafAC]]*Tasks[[#This Row],[_LeafCost]]/Tasks[[#This Row],[_LeafTotalCost]])</f>
        <v>0</v>
      </c>
      <c r="CQ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4" s="41" t="n">
        <f aca="false">IF(NOT(Tasks[[#This Row],[_IsLeaf]]=1),0,MAX(_xlfn.MAXIFS(Tasks[_Row],Tasks[Pred1 UID],Tasks[[#This Row],[UID]]),_xlfn.MAXIFS(Tasks[_Row],Tasks[Pred2 UID],Tasks[[#This Row],[UID]]),_xlfn.MAXIFS(Tasks[_Row],Tasks[Pred3 UID],Tasks[[#This Row],[UID]]),_xlfn.MAXIFS(Tasks[_Row],Tasks[Pred4 UID],Tasks[[#This Row],[UID]])))</f>
        <v>0</v>
      </c>
      <c r="CZ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4" s="101" t="str">
        <f aca="false">IF(NOT(Tasks[[#This Row],[_IsLeaf]]=1),"",IF(N(Tasks[[#This Row],[Duration]])&lt;=0,Tasks[[#This Row],[_LeafLateFinish]],WORKDAY.INTL(Tasks[[#This Row],[_LeafLateFinish]],-(Tasks[[#This Row],[Duration]]-1),WorkWeek,Holidays)))</f>
        <v/>
      </c>
      <c r="DC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4" s="100" t="b">
        <f aca="false">AND(Tasks[[#This Row],[_IsLeaf]]=1,Tasks[[#This Row],[_LeafProgress]]&lt;1,N(Tasks[[#This Row],[_LeafTotalSlack]])&lt;=CriticalSlackDays)</f>
        <v>0</v>
      </c>
      <c r="DE64" s="41" t="n">
        <f aca="false">IF(AND(Tasks[[#This Row],[_IsLeaf]]=1,Tasks[[#This Row],[_ConstraintCode]]=1,Tasks[[#This Row],[Mode]]&lt;&gt;"Manual",N(Tasks[[#This Row],[Actual Start]])=0),MAX(0,N(Tasks[[#This Row],[Free Slack]])),0)</f>
        <v>0</v>
      </c>
      <c r="DF64" s="101" t="str">
        <f aca="false">IF(NOT(Tasks[[#This Row],[_IsLeaf]]=1),"",IF(Tasks[[#This Row],[_AlapShift]]=0,Tasks[[#This Row],[_LeafCalcStart]],WORKDAY.INTL(Tasks[[#This Row],[_LeafCalcStart]],Tasks[[#This Row],[_AlapShift]],WorkWeek,Holidays)))</f>
        <v/>
      </c>
      <c r="DG64" s="101" t="str">
        <f aca="false">IF(NOT(Tasks[[#This Row],[_IsLeaf]]=1),"",IF(Tasks[[#This Row],[_AlapShift]]=0,Tasks[[#This Row],[_LeafCalcFinish]],WORKDAY.INTL(Tasks[[#This Row],[_LeafCalcFinish]],Tasks[[#This Row],[_AlapShift]],WorkWeek,Holidays)))</f>
        <v/>
      </c>
      <c r="DH64" s="101" t="str">
        <f aca="false">IF(NOT(Tasks[[#This Row],[_IsLeaf]]=1),"",IF(Tasks[[#This Row],[_AlapShift]]=0,Tasks[[#This Row],[_LeafFcstStart]],WORKDAY.INTL(Tasks[[#This Row],[_LeafFcstStart]],Tasks[[#This Row],[_AlapShift]],WorkWeek,Holidays)))</f>
        <v/>
      </c>
      <c r="DI64" s="101" t="str">
        <f aca="false">IF(NOT(Tasks[[#This Row],[_IsLeaf]]=1),"",IF(Tasks[[#This Row],[_AlapShift]]=0,Tasks[[#This Row],[_LeafFcstFinish]],WORKDAY.INTL(Tasks[[#This Row],[_LeafFcstFinish]],Tasks[[#This Row],[_AlapShift]],WorkWeek,Holidays)))</f>
        <v/>
      </c>
      <c r="DJ64" s="101" t="str">
        <f aca="false">IF(Tasks[[#This Row],[Task Name]]="","",IF(Tasks[[#This Row],[_IsSummary]],MIN(INDEX(Tasks[_ShownCalcStart],Tasks[[#This Row],[_Row]]+1):INDEX(Tasks[_ShownCalcStart],Tasks[[#This Row],[_Row]]+Tasks[[#This Row],[_Descendants]])),Tasks[[#This Row],[_ShownCalcStart]]))</f>
        <v/>
      </c>
      <c r="DK64" s="101" t="str">
        <f aca="false">IF(Tasks[[#This Row],[Task Name]]="","",IF(Tasks[[#This Row],[_IsSummary]],MAX(INDEX(Tasks[_ShownCalcFinish],Tasks[[#This Row],[_Row]]+1):INDEX(Tasks[_ShownCalcFinish],Tasks[[#This Row],[_Row]]+Tasks[[#This Row],[_Descendants]])),Tasks[[#This Row],[_ShownCalcFinish]]))</f>
        <v/>
      </c>
      <c r="D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4" s="41" t="n">
        <f aca="false">IF(AND(Tasks[[#This Row],[_IsLeaf]]=1,Tasks[[#This Row],[_LeafTotalWork]]&gt;0),NETWORKDAYS.INTL(ProjectStart,Tasks[[#This Row],[_ShownFcstStart]],WorkWeek,Holidays),0)</f>
        <v>0</v>
      </c>
      <c r="DY64" s="41" t="n">
        <f aca="false">IF(AND(Tasks[[#This Row],[_IsLeaf]]=1,Tasks[[#This Row],[_LeafTotalWork]]&gt;0),MAX(Tasks[[#This Row],[_StartWorkday]],NETWORKDAYS.INTL(ProjectStart,Tasks[[#This Row],[_ShownFcstFinish]],WorkWeek,Holidays)),0)</f>
        <v>0</v>
      </c>
      <c r="DZ64" s="41" t="n">
        <f aca="false">IF(AND(Tasks[[#This Row],[_IsLeaf]]=1,Tasks[[#This Row],[_LeafTotalWork]]&gt;0),Tasks[[#This Row],[_LeafWork]]/(Tasks[[#This Row],[_FinishWorkday]]-Tasks[[#This Row],[_StartWorkday]]+1),0)</f>
        <v>0</v>
      </c>
      <c r="EA64" s="41" t="n">
        <f aca="false">Tasks[[#This Row],[_WorkPerWorkday]]*(Tasks[[#This Row],[_StartWorkday]]-1)</f>
        <v>-0</v>
      </c>
      <c r="EB64" s="41" t="n">
        <f aca="false">IF(Tasks[[#This Row],[_IsLeaf]]=1,MAX(N(Tasks[[#This Row],[Duration]]),0.1),0)</f>
        <v>0</v>
      </c>
      <c r="EC64" s="41" t="n">
        <f aca="false">Tasks[[#This Row],[_WeightDur]]*Tasks[[#This Row],[_LeafProgress]]</f>
        <v>0</v>
      </c>
      <c r="ED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4" s="41" t="str">
        <f aca="false">IF(AND(Tasks[[#This Row],[_IsLeaf]]=1,N(Tasks[[#This Row],[Duration]])=0,Tasks[[#This Row],[_LeafProgress]]&lt;1),Tasks[[#This Row],[_ShownFcstFinish]]+Tasks[[#This Row],[_Row]]/100000,"")</f>
        <v/>
      </c>
      <c r="EF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4" s="41" t="n">
        <f aca="false">IF(NOT(Tasks[[#This Row],[_IsLeaf]]=1),0,IF(Tasks[[#This Row],[Baseline Cost]]="",Tasks[[#This Row],[_LeafTotalCost]],N(Tasks[[#This Row],[Baseline Cost]])))</f>
        <v>0</v>
      </c>
      <c r="EH64" s="41" t="n">
        <f aca="false">Tasks[[#This Row],[_LeafBudget]]*Tasks[[#This Row],[_PlannedPct]]</f>
        <v>0</v>
      </c>
      <c r="EI64" s="41" t="n">
        <f aca="false">Tasks[[#This Row],[_LeafBudget]]*Tasks[[#This Row],[_LeafProgress]]</f>
        <v>0</v>
      </c>
      <c r="EJ64" s="41" t="n">
        <f aca="false">IF(NOT(Tasks[[#This Row],[_IsLeaf]]=1),0,IF(Tasks[[#This Row],[Actual Cost]]="",Tasks[[#This Row],[_LeafTotalCost]]*Tasks[[#This Row],[_LeafProgress]],N(Tasks[[#This Row],[Actual Cost]])))</f>
        <v>0</v>
      </c>
      <c r="EK64" s="41" t="str">
        <f aca="false">IF(Tasks[[#This Row],[Task Name]]="","",LEFT(Tasks[[#This Row],[WBS]],FIND(".",Tasks[[#This Row],[WBS]]&amp;".")-1))</f>
        <v/>
      </c>
      <c r="EL64" s="41" t="str">
        <f aca="false">IF(AND(Tasks[[#This Row],[Task Name]]&lt;&gt;"",Tasks[[#This Row],[_Level]]=1),Tasks[[#This Row],[_Row]],"")</f>
        <v/>
      </c>
      <c r="EM64" s="41" t="str">
        <f aca="false">IF(AND(Tasks[[#This Row],[_IsLeaf]]=1,N(Tasks[[#This Row],[Duration]])=0),Tasks[[#This Row],[Planned Finish]]+Tasks[[#This Row],[_Row]]/100000,"")</f>
        <v/>
      </c>
      <c r="EN64" s="41" t="str">
        <f aca="false">IF(AND(Tasks[[#This Row],[_IsLeaf]]=1,Tasks[[#This Row],[_LeafProgress]]&lt;1,OR(N(Tasks[[#This Row],[Finish Var]])&gt;0,Tasks[[#This Row],[Status]]="Late Start")),MAX(0,Tasks[[#This Row],[Finish Var]])+1-Tasks[[#This Row],[_Row]]/1000000,"")</f>
        <v/>
      </c>
      <c r="EO64" s="41" t="str">
        <f aca="false">IF(AND(Tasks[[#This Row],[_IsLeaf]]=1,N(Tasks[[#This Row],[Actual Start]])=0,Tasks[[#This Row],[_ShownFcstStart]]&gt;=StatusDate,Tasks[[#This Row],[_ShownFcstStart]]&lt;=LookaheadEnd),Tasks[[#This Row],[_ShownFcstStart]]+Tasks[[#This Row],[_Row]]/100000,"")</f>
        <v/>
      </c>
      <c r="EP64" s="41" t="str">
        <f aca="false">IF(AND(Tasks[[#This Row],[_IsLeaf]]=1,Tasks[[#This Row],[_LeafProgress]]&lt;1,Tasks[[#This Row],[_ShownFcstFinish]]&gt;=StatusDate,Tasks[[#This Row],[_ShownFcstFinish]]&lt;=LookaheadEnd),Tasks[[#This Row],[_ShownFcstFinish]]+Tasks[[#This Row],[_Row]]/100000,"")</f>
        <v/>
      </c>
      <c r="EQ64" s="41" t="str">
        <f aca="false">IF(Tasks[[#This Row],[_LeafCritical]],Tasks[[#This Row],[_ShownFcstStart]]+Tasks[[#This Row],[_Row]]/100000,"")</f>
        <v/>
      </c>
      <c r="ER64" s="41" t="n">
        <f aca="false">Tasks[[#This Row],[_LeafWork]]*Tasks[[#This Row],[_LeafProgress]]</f>
        <v>0</v>
      </c>
      <c r="ES64" s="101" t="str">
        <f aca="false">IF(AND(Tasks[[#This Row],[_IsLeaf]]=1,Tasks[[#This Row],[_LeafProgress]]&gt;=1),IF(N(Tasks[[#This Row],[Actual Finish]])&gt;0,Tasks[[#This Row],[Actual Finish]],Tasks[[#This Row],[_ShownFcstFinish]]),"")</f>
        <v/>
      </c>
      <c r="ET64" s="41" t="n">
        <f aca="false">IF(Tasks[[#This Row],[_IsLeaf]]=1,N(Tasks[[#This Row],[Story Points]]),0)</f>
        <v>0</v>
      </c>
      <c r="EU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29"/>
      <c r="O65" s="29"/>
      <c r="P65" s="29"/>
      <c r="Q65" s="29"/>
      <c r="R65" s="29"/>
      <c r="S65" s="29"/>
      <c r="T65" s="30"/>
      <c r="U65" s="75"/>
      <c r="V65" s="75"/>
      <c r="W65" s="25" t="str">
        <f aca="false">IF(Tasks[[#This Row],[Task Name]]="","",IF(N(Tasks[[#This Row],[Baseline Start]])&gt;0,Tasks[[#This Row],[Baseline Start]],Tasks[[#This Row],[_CalcStart]]))</f>
        <v/>
      </c>
      <c r="X65" s="25" t="str">
        <f aca="false">IF(Tasks[[#This Row],[Task Name]]="","",IF(N(Tasks[[#This Row],[Baseline Finish]])&gt;0,Tasks[[#This Row],[Baseline Finish]],Tasks[[#This Row],[_CalcFinish]]))</f>
        <v/>
      </c>
      <c r="Y65" s="75"/>
      <c r="Z65" s="75"/>
      <c r="AA65" s="25" t="str">
        <f aca="false">IF(Tasks[[#This Row],[Task Name]]="","",IF(Tasks[[#This Row],[_IsSummary]],MIN(INDEX(Tasks[_ShownFcstStart],Tasks[[#This Row],[_Row]]+1):INDEX(Tasks[_ShownFcstStart],Tasks[[#This Row],[_Row]]+Tasks[[#This Row],[_Descendants]])),Tasks[[#This Row],[_ShownFcstStart]]))</f>
        <v/>
      </c>
      <c r="AB65" s="25" t="str">
        <f aca="false">IF(Tasks[[#This Row],[Task Name]]="","",IF(Tasks[[#This Row],[_IsSummary]],MAX(INDEX(Tasks[_ShownFcstFinish],Tasks[[#This Row],[_Row]]+1):INDEX(Tasks[_ShownFcstFinish],Tasks[[#This Row],[_Row]]+Tasks[[#This Row],[_Descendants]])),Tasks[[#This Row],[_ShownFcstFinish]]))</f>
        <v/>
      </c>
      <c r="AC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5" s="25" t="str">
        <f aca="false">IF(Tasks[[#This Row],[Task Name]]="","",IF(Tasks[[#This Row],[_IsSummary]],MIN(INDEX(Tasks[_LeafLateStart],Tasks[[#This Row],[_Row]]+1):INDEX(Tasks[_LeafLateStart],Tasks[[#This Row],[_Row]]+Tasks[[#This Row],[_Descendants]])),Tasks[[#This Row],[_LeafLateStart]]))</f>
        <v/>
      </c>
      <c r="AF65" s="25" t="str">
        <f aca="false">IF(Tasks[[#This Row],[Task Name]]="","",IF(Tasks[[#This Row],[_IsSummary]],MAX(INDEX(Tasks[_LeafLateFinish],Tasks[[#This Row],[_Row]]+1):INDEX(Tasks[_LeafLateFinish],Tasks[[#This Row],[_Row]]+Tasks[[#This Row],[_Descendants]])),Tasks[[#This Row],[_LeafLateFinish]]))</f>
        <v/>
      </c>
      <c r="AG65" s="28" t="str">
        <f aca="false">IF(Tasks[[#This Row],[Task Name]]="","",IF(Tasks[[#This Row],[_IsSummary]],MIN(INDEX(Tasks[_LeafTotalSlack],Tasks[[#This Row],[_Row]]+1):INDEX(Tasks[_LeafTotalSlack],Tasks[[#This Row],[_Row]]+Tasks[[#This Row],[_Descendants]])),Tasks[[#This Row],[_LeafTotalSlack]]))</f>
        <v/>
      </c>
      <c r="AH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5" s="28" t="str">
        <f aca="false">IF(Tasks[[#This Row],[Task Name]]="","",IF(IF(Tasks[[#This Row],[_IsSummary]],COUNTIF(INDEX(Tasks[_LeafCritical],Tasks[[#This Row],[_Row]]+1):INDEX(Tasks[_LeafCritical],Tasks[[#This Row],[_Row]]+Tasks[[#This Row],[_Descendants]]),TRUE())&gt;0,Tasks[[#This Row],[_LeafCritical]]),"Yes",""))</f>
        <v/>
      </c>
      <c r="AJ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5" s="89"/>
      <c r="AM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5" s="28" t="str">
        <f aca="false">IF(Tasks[[#This Row],[Task Name]]="","",IF(Tasks[[#This Row],[Progress]]&gt;=1,"Complete",IF(OR(N(Tasks[[#This Row],[Actual Start]])&gt;0,Tasks[[#This Row],[Progress]]&gt;0),IF(Tasks[[#This Row],[Finish Var]]&gt;0,"Behind","In Progress"),IF(Tasks[[#This Row],[Planned Start]]&lt;StatusDate,"Late Start","Not Started"))))</f>
        <v/>
      </c>
      <c r="AO65" s="30"/>
      <c r="AP65" s="89"/>
      <c r="AQ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5" s="96" t="str">
        <f aca="false">IF(Tasks[[#This Row],[Task Name]]="","",IF(Tasks[[#This Row],[_IsSummary]],SUM(INDEX(Tasks[_LeafTotalWork],Tasks[[#This Row],[_Row]]+1):INDEX(Tasks[_LeafTotalWork],Tasks[[#This Row],[_Row]]+Tasks[[#This Row],[_Descendants]])),Tasks[[#This Row],[_LeafTotalWork]]))</f>
        <v/>
      </c>
      <c r="AT65" s="97" t="str">
        <f aca="false">IF(Tasks[[#This Row],[Task Name]]="","",IF(Tasks[[#This Row],[_IsSummary]],SUM(INDEX(Tasks[_LeafTotalCost],Tasks[[#This Row],[_Row]]+1):INDEX(Tasks[_LeafTotalCost],Tasks[[#This Row],[_Row]]+Tasks[[#This Row],[_Descendants]])),Tasks[[#This Row],[_LeafTotalCost]]))</f>
        <v/>
      </c>
      <c r="AU65" s="98"/>
      <c r="AV65" s="29"/>
      <c r="AW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5" s="83"/>
      <c r="AY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5" s="30"/>
      <c r="BA65" s="25" t="str">
        <f aca="false">IF(Tasks[[#This Row],[Task Name]]="","",Tasks[[#This Row],[Forecast Start]])</f>
        <v/>
      </c>
      <c r="BB65" s="25" t="str">
        <f aca="false">IF(Tasks[[#This Row],[Task Name]]="","",Tasks[[#This Row],[Forecast Finish]])</f>
        <v/>
      </c>
      <c r="BC65" s="28" t="str">
        <f aca="false">IF(Tasks[[#This Row],[Task Name]]="","",IF(Tasks[[#This Row],[_IsSummary]],NETWORKDAYS.INTL(Tasks[[#This Row],[Forecast Start]],Tasks[[#This Row],[Forecast Finish]],WorkWeek,Holidays),N(Tasks[[#This Row],[Duration]])))</f>
        <v/>
      </c>
      <c r="BD65" s="96" t="str">
        <f aca="false">IF(Tasks[[#This Row],[Task Name]]="","",Tasks[[#This Row],[Work]])</f>
        <v/>
      </c>
      <c r="BE65" s="97" t="str">
        <f aca="false">IF(Tasks[[#This Row],[Task Name]]="","",Tasks[[#This Row],[Cost]])</f>
        <v/>
      </c>
      <c r="BF65" s="75"/>
      <c r="BG65" s="75"/>
      <c r="BH65" s="29"/>
      <c r="BI65" s="99"/>
      <c r="BJ65" s="98"/>
      <c r="BK65" s="28" t="str">
        <f aca="false">IF(OR(Tasks[[#This Row],[Task Name]]="",Tasks[[#This Row],[Baseline Duration]]=""),"",Tasks[[#This Row],[BL Source Duration]]-N(Tasks[[#This Row],[Baseline Duration]]))</f>
        <v/>
      </c>
      <c r="BL65" s="96" t="str">
        <f aca="false">IF(OR(Tasks[[#This Row],[Task Name]]="",Tasks[[#This Row],[Baseline Work]]=""),"",Tasks[[#This Row],[Work]]-N(Tasks[[#This Row],[Baseline Work]]))</f>
        <v/>
      </c>
      <c r="BM65" s="97" t="str">
        <f aca="false">IF(OR(Tasks[[#This Row],[Task Name]]="",Tasks[[#This Row],[Baseline Cost]]=""),"",Tasks[[#This Row],[Cost]]-N(Tasks[[#This Row],[Baseline Cost]]))</f>
        <v/>
      </c>
      <c r="BN65" s="97" t="str">
        <f aca="false">IF(Tasks[[#This Row],[Task Name]]="","",IF(Tasks[[#This Row],[_IsSummary]],SUM(INDEX(Tasks[_LeafBudget],Tasks[[#This Row],[_Row]]+1):INDEX(Tasks[_LeafBudget],Tasks[[#This Row],[_Row]]+Tasks[[#This Row],[_Descendants]])),Tasks[[#This Row],[_LeafBudget]]))</f>
        <v/>
      </c>
      <c r="BO65" s="97" t="str">
        <f aca="false">IF(Tasks[[#This Row],[Task Name]]="","",IF(Tasks[[#This Row],[_IsSummary]],SUM(INDEX(Tasks[_LeafPV],Tasks[[#This Row],[_Row]]+1):INDEX(Tasks[_LeafPV],Tasks[[#This Row],[_Row]]+Tasks[[#This Row],[_Descendants]])),Tasks[[#This Row],[_LeafPV]]))</f>
        <v/>
      </c>
      <c r="BP65" s="97" t="str">
        <f aca="false">IF(Tasks[[#This Row],[Task Name]]="","",IF(Tasks[[#This Row],[_IsSummary]],SUM(INDEX(Tasks[_LeafEV],Tasks[[#This Row],[_Row]]+1):INDEX(Tasks[_LeafEV],Tasks[[#This Row],[_Row]]+Tasks[[#This Row],[_Descendants]])),Tasks[[#This Row],[_LeafEV]]))</f>
        <v/>
      </c>
      <c r="BQ65" s="97" t="str">
        <f aca="false">IF(Tasks[[#This Row],[Task Name]]="","",IF(Tasks[[#This Row],[_IsSummary]],SUM(INDEX(Tasks[_LeafAC],Tasks[[#This Row],[_Row]]+1):INDEX(Tasks[_LeafAC],Tasks[[#This Row],[_Row]]+Tasks[[#This Row],[_Descendants]])),Tasks[[#This Row],[_LeafAC]]))</f>
        <v/>
      </c>
      <c r="BR65" s="41" t="str">
        <f aca="false">IF(Tasks[[#This Row],[Task Name]]="","",MAX(1,N(Tasks[[#This Row],[Level]])))</f>
        <v/>
      </c>
      <c r="BS65" s="41" t="n">
        <f aca="false">ROW()-ROW(Tasks[[#Headers],[ID]])</f>
        <v>60</v>
      </c>
      <c r="BT65" s="41" t="n">
        <f aca="false">IF(OR(Tasks[[#This Row],[Task Name]]="",Tasks[[#This Row],[_Level]]&lt;=1),0,IFERROR(LOOKUP(2,1/(Tasks[[#Headers],[_Level]]:Tasks[[#This Row],[_Level]]=Tasks[[#This Row],[_Level]]-1),ROW(Tasks[[#Headers],[_Level]]:Tasks[[#This Row],[_Level]])),0))</f>
        <v>0</v>
      </c>
      <c r="BU65" s="41" t="n">
        <f aca="false">IFERROR(N(INDEX(Tasks[_Level],Tasks[[#This Row],[_Row]]+1)),0)</f>
        <v>0</v>
      </c>
      <c r="BV65" s="100" t="b">
        <f aca="false">AND(Tasks[[#This Row],[Task Name]]&lt;&gt;"",Tasks[[#This Row],[_NextLevel]]&gt;Tasks[[#This Row],[_Level]])</f>
        <v>0</v>
      </c>
      <c r="BW65" s="41" t="n">
        <f aca="false">IF(Tasks[[#This Row],[_IsSummary]],COUNTIF(Tasks[WBS],Tasks[[#This Row],[WBS]]&amp;".*"),0)</f>
        <v>0</v>
      </c>
      <c r="BX65" s="41" t="n">
        <f aca="false">IF(AND(Tasks[[#This Row],[Task Name]]&lt;&gt;"",NOT(Tasks[[#This Row],[_IsSummary]])),1,0)</f>
        <v>0</v>
      </c>
      <c r="BY65" s="41" t="n">
        <f aca="false">IF(N(Tasks[[#This Row],[Pred1 UID]])=0,0,IFERROR(MATCH(Tasks[[#This Row],[Pred1 UID]],Tasks[UID],0),-1))</f>
        <v>0</v>
      </c>
      <c r="BZ65" s="41" t="n">
        <f aca="false">IF(N(Tasks[[#This Row],[Pred2 UID]])=0,0,IFERROR(MATCH(Tasks[[#This Row],[Pred2 UID]],Tasks[UID],0),-1))</f>
        <v>0</v>
      </c>
      <c r="CA65" s="41" t="n">
        <f aca="false">IF(N(Tasks[[#This Row],[Pred3 UID]])=0,0,IFERROR(MATCH(Tasks[[#This Row],[Pred3 UID]],Tasks[UID],0),-1))</f>
        <v>0</v>
      </c>
      <c r="CB65" s="41" t="n">
        <f aca="false">IF(N(Tasks[[#This Row],[Pred4 UID]])=0,0,IFERROR(MATCH(Tasks[[#This Row],[Pred4 UID]],Tasks[UID],0),-1))</f>
        <v>0</v>
      </c>
      <c r="CC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5" s="101" t="n">
        <f aca="false">IF(OR(Tasks[[#This Row],[_ConstraintCode]]=2,Tasks[[#This Row],[_ConstraintCode]]=3,Tasks[[#This Row],[_ConstraintCode]]=4,Tasks[[#This Row],[_ConstraintCode]]=6),Tasks[[#This Row],[_ConstraintStart]],0)</f>
        <v>0</v>
      </c>
      <c r="CF65" s="101" t="n">
        <f aca="false">IF(OR(Tasks[[#This Row],[_ConstraintCode]]=2,Tasks[[#This Row],[_ConstraintCode]]=3,Tasks[[#This Row],[_ConstraintCode]]=5,Tasks[[#This Row],[_ConstraintCode]]=7),Tasks[[#This Row],[_ConstraintStart]],2958465)</f>
        <v>2958465</v>
      </c>
      <c r="CG6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5" s="101" t="str">
        <f aca="false">IF(NOT(Tasks[[#This Row],[_IsLeaf]]=1),"",IF(N(Tasks[[#This Row],[Duration]])&lt;=0,Tasks[[#This Row],[_LeafCalcStart]],WORKDAY.INTL(Tasks[[#This Row],[_LeafCalcStart]],Tasks[[#This Row],[Duration]]-1,WorkWeek,Holidays)))</f>
        <v/>
      </c>
      <c r="CI6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5" s="41" t="n">
        <f aca="false">IF(NOT(Tasks[[#This Row],[_IsLeaf]]=1),0,IF(N(Tasks[[#This Row],[Actual Finish]])&gt;0,1,MIN(1,N(Tasks[[#This Row],[% Complete]]))))</f>
        <v>0</v>
      </c>
      <c r="CL65" s="41" t="n">
        <f aca="false">IF(OR(NOT(Tasks[[#This Row],[_IsLeaf]]=1),Tasks[[#This Row],[Resource]]=""),0,N(Tasks[[#This Row],[Duration]])*HoursPerDay*IF(Tasks[[#This Row],[Units]]="",DefaultUnits,Tasks[[#This Row],[Units]]))</f>
        <v>0</v>
      </c>
      <c r="CM65" s="41" t="n">
        <f aca="false">IF(Tasks[[#This Row],[_LeafWork]]=0,0,Tasks[[#This Row],[_LeafWork]]*IFERROR(INDEX(res_Rate,MATCH(Tasks[[#This Row],[Resource]],res_Name,0)),0))</f>
        <v>0</v>
      </c>
      <c r="CN65" s="41" t="n">
        <f aca="false">Tasks[[#This Row],[_LeafWork]]+IF(Tasks[[#This Row],[_IsLeaf]]=1,SUMIFS(asg_Work,asg_TaskUID,Tasks[[#This Row],[UID]],asg_Valid,1),0)</f>
        <v>0</v>
      </c>
      <c r="CO65" s="41" t="n">
        <f aca="false">Tasks[[#This Row],[_LeafCost]]+IF(Tasks[[#This Row],[_IsLeaf]]=1,SUMIFS(asg_Cost,asg_TaskUID,Tasks[[#This Row],[UID]],asg_Valid,1),0)</f>
        <v>0</v>
      </c>
      <c r="CP65" s="41" t="n">
        <f aca="false">IF(Tasks[[#This Row],[_LeafTotalCost]]=0,Tasks[[#This Row],[_LeafAC]],Tasks[[#This Row],[_LeafAC]]*Tasks[[#This Row],[_LeafCost]]/Tasks[[#This Row],[_LeafTotalCost]])</f>
        <v>0</v>
      </c>
      <c r="CQ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5" s="41" t="n">
        <f aca="false">IF(NOT(Tasks[[#This Row],[_IsLeaf]]=1),0,MAX(_xlfn.MAXIFS(Tasks[_Row],Tasks[Pred1 UID],Tasks[[#This Row],[UID]]),_xlfn.MAXIFS(Tasks[_Row],Tasks[Pred2 UID],Tasks[[#This Row],[UID]]),_xlfn.MAXIFS(Tasks[_Row],Tasks[Pred3 UID],Tasks[[#This Row],[UID]]),_xlfn.MAXIFS(Tasks[_Row],Tasks[Pred4 UID],Tasks[[#This Row],[UID]])))</f>
        <v>0</v>
      </c>
      <c r="CZ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5" s="101" t="str">
        <f aca="false">IF(NOT(Tasks[[#This Row],[_IsLeaf]]=1),"",IF(N(Tasks[[#This Row],[Duration]])&lt;=0,Tasks[[#This Row],[_LeafLateFinish]],WORKDAY.INTL(Tasks[[#This Row],[_LeafLateFinish]],-(Tasks[[#This Row],[Duration]]-1),WorkWeek,Holidays)))</f>
        <v/>
      </c>
      <c r="DC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5" s="100" t="b">
        <f aca="false">AND(Tasks[[#This Row],[_IsLeaf]]=1,Tasks[[#This Row],[_LeafProgress]]&lt;1,N(Tasks[[#This Row],[_LeafTotalSlack]])&lt;=CriticalSlackDays)</f>
        <v>0</v>
      </c>
      <c r="DE65" s="41" t="n">
        <f aca="false">IF(AND(Tasks[[#This Row],[_IsLeaf]]=1,Tasks[[#This Row],[_ConstraintCode]]=1,Tasks[[#This Row],[Mode]]&lt;&gt;"Manual",N(Tasks[[#This Row],[Actual Start]])=0),MAX(0,N(Tasks[[#This Row],[Free Slack]])),0)</f>
        <v>0</v>
      </c>
      <c r="DF65" s="101" t="str">
        <f aca="false">IF(NOT(Tasks[[#This Row],[_IsLeaf]]=1),"",IF(Tasks[[#This Row],[_AlapShift]]=0,Tasks[[#This Row],[_LeafCalcStart]],WORKDAY.INTL(Tasks[[#This Row],[_LeafCalcStart]],Tasks[[#This Row],[_AlapShift]],WorkWeek,Holidays)))</f>
        <v/>
      </c>
      <c r="DG65" s="101" t="str">
        <f aca="false">IF(NOT(Tasks[[#This Row],[_IsLeaf]]=1),"",IF(Tasks[[#This Row],[_AlapShift]]=0,Tasks[[#This Row],[_LeafCalcFinish]],WORKDAY.INTL(Tasks[[#This Row],[_LeafCalcFinish]],Tasks[[#This Row],[_AlapShift]],WorkWeek,Holidays)))</f>
        <v/>
      </c>
      <c r="DH65" s="101" t="str">
        <f aca="false">IF(NOT(Tasks[[#This Row],[_IsLeaf]]=1),"",IF(Tasks[[#This Row],[_AlapShift]]=0,Tasks[[#This Row],[_LeafFcstStart]],WORKDAY.INTL(Tasks[[#This Row],[_LeafFcstStart]],Tasks[[#This Row],[_AlapShift]],WorkWeek,Holidays)))</f>
        <v/>
      </c>
      <c r="DI65" s="101" t="str">
        <f aca="false">IF(NOT(Tasks[[#This Row],[_IsLeaf]]=1),"",IF(Tasks[[#This Row],[_AlapShift]]=0,Tasks[[#This Row],[_LeafFcstFinish]],WORKDAY.INTL(Tasks[[#This Row],[_LeafFcstFinish]],Tasks[[#This Row],[_AlapShift]],WorkWeek,Holidays)))</f>
        <v/>
      </c>
      <c r="DJ65" s="101" t="str">
        <f aca="false">IF(Tasks[[#This Row],[Task Name]]="","",IF(Tasks[[#This Row],[_IsSummary]],MIN(INDEX(Tasks[_ShownCalcStart],Tasks[[#This Row],[_Row]]+1):INDEX(Tasks[_ShownCalcStart],Tasks[[#This Row],[_Row]]+Tasks[[#This Row],[_Descendants]])),Tasks[[#This Row],[_ShownCalcStart]]))</f>
        <v/>
      </c>
      <c r="DK65" s="101" t="str">
        <f aca="false">IF(Tasks[[#This Row],[Task Name]]="","",IF(Tasks[[#This Row],[_IsSummary]],MAX(INDEX(Tasks[_ShownCalcFinish],Tasks[[#This Row],[_Row]]+1):INDEX(Tasks[_ShownCalcFinish],Tasks[[#This Row],[_Row]]+Tasks[[#This Row],[_Descendants]])),Tasks[[#This Row],[_ShownCalcFinish]]))</f>
        <v/>
      </c>
      <c r="D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5" s="41" t="n">
        <f aca="false">IF(AND(Tasks[[#This Row],[_IsLeaf]]=1,Tasks[[#This Row],[_LeafTotalWork]]&gt;0),NETWORKDAYS.INTL(ProjectStart,Tasks[[#This Row],[_ShownFcstStart]],WorkWeek,Holidays),0)</f>
        <v>0</v>
      </c>
      <c r="DY65" s="41" t="n">
        <f aca="false">IF(AND(Tasks[[#This Row],[_IsLeaf]]=1,Tasks[[#This Row],[_LeafTotalWork]]&gt;0),MAX(Tasks[[#This Row],[_StartWorkday]],NETWORKDAYS.INTL(ProjectStart,Tasks[[#This Row],[_ShownFcstFinish]],WorkWeek,Holidays)),0)</f>
        <v>0</v>
      </c>
      <c r="DZ65" s="41" t="n">
        <f aca="false">IF(AND(Tasks[[#This Row],[_IsLeaf]]=1,Tasks[[#This Row],[_LeafTotalWork]]&gt;0),Tasks[[#This Row],[_LeafWork]]/(Tasks[[#This Row],[_FinishWorkday]]-Tasks[[#This Row],[_StartWorkday]]+1),0)</f>
        <v>0</v>
      </c>
      <c r="EA65" s="41" t="n">
        <f aca="false">Tasks[[#This Row],[_WorkPerWorkday]]*(Tasks[[#This Row],[_StartWorkday]]-1)</f>
        <v>-0</v>
      </c>
      <c r="EB65" s="41" t="n">
        <f aca="false">IF(Tasks[[#This Row],[_IsLeaf]]=1,MAX(N(Tasks[[#This Row],[Duration]]),0.1),0)</f>
        <v>0</v>
      </c>
      <c r="EC65" s="41" t="n">
        <f aca="false">Tasks[[#This Row],[_WeightDur]]*Tasks[[#This Row],[_LeafProgress]]</f>
        <v>0</v>
      </c>
      <c r="ED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5" s="41" t="str">
        <f aca="false">IF(AND(Tasks[[#This Row],[_IsLeaf]]=1,N(Tasks[[#This Row],[Duration]])=0,Tasks[[#This Row],[_LeafProgress]]&lt;1),Tasks[[#This Row],[_ShownFcstFinish]]+Tasks[[#This Row],[_Row]]/100000,"")</f>
        <v/>
      </c>
      <c r="EF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5" s="41" t="n">
        <f aca="false">IF(NOT(Tasks[[#This Row],[_IsLeaf]]=1),0,IF(Tasks[[#This Row],[Baseline Cost]]="",Tasks[[#This Row],[_LeafTotalCost]],N(Tasks[[#This Row],[Baseline Cost]])))</f>
        <v>0</v>
      </c>
      <c r="EH65" s="41" t="n">
        <f aca="false">Tasks[[#This Row],[_LeafBudget]]*Tasks[[#This Row],[_PlannedPct]]</f>
        <v>0</v>
      </c>
      <c r="EI65" s="41" t="n">
        <f aca="false">Tasks[[#This Row],[_LeafBudget]]*Tasks[[#This Row],[_LeafProgress]]</f>
        <v>0</v>
      </c>
      <c r="EJ65" s="41" t="n">
        <f aca="false">IF(NOT(Tasks[[#This Row],[_IsLeaf]]=1),0,IF(Tasks[[#This Row],[Actual Cost]]="",Tasks[[#This Row],[_LeafTotalCost]]*Tasks[[#This Row],[_LeafProgress]],N(Tasks[[#This Row],[Actual Cost]])))</f>
        <v>0</v>
      </c>
      <c r="EK65" s="41" t="str">
        <f aca="false">IF(Tasks[[#This Row],[Task Name]]="","",LEFT(Tasks[[#This Row],[WBS]],FIND(".",Tasks[[#This Row],[WBS]]&amp;".")-1))</f>
        <v/>
      </c>
      <c r="EL65" s="41" t="str">
        <f aca="false">IF(AND(Tasks[[#This Row],[Task Name]]&lt;&gt;"",Tasks[[#This Row],[_Level]]=1),Tasks[[#This Row],[_Row]],"")</f>
        <v/>
      </c>
      <c r="EM65" s="41" t="str">
        <f aca="false">IF(AND(Tasks[[#This Row],[_IsLeaf]]=1,N(Tasks[[#This Row],[Duration]])=0),Tasks[[#This Row],[Planned Finish]]+Tasks[[#This Row],[_Row]]/100000,"")</f>
        <v/>
      </c>
      <c r="EN65" s="41" t="str">
        <f aca="false">IF(AND(Tasks[[#This Row],[_IsLeaf]]=1,Tasks[[#This Row],[_LeafProgress]]&lt;1,OR(N(Tasks[[#This Row],[Finish Var]])&gt;0,Tasks[[#This Row],[Status]]="Late Start")),MAX(0,Tasks[[#This Row],[Finish Var]])+1-Tasks[[#This Row],[_Row]]/1000000,"")</f>
        <v/>
      </c>
      <c r="EO65" s="41" t="str">
        <f aca="false">IF(AND(Tasks[[#This Row],[_IsLeaf]]=1,N(Tasks[[#This Row],[Actual Start]])=0,Tasks[[#This Row],[_ShownFcstStart]]&gt;=StatusDate,Tasks[[#This Row],[_ShownFcstStart]]&lt;=LookaheadEnd),Tasks[[#This Row],[_ShownFcstStart]]+Tasks[[#This Row],[_Row]]/100000,"")</f>
        <v/>
      </c>
      <c r="EP65" s="41" t="str">
        <f aca="false">IF(AND(Tasks[[#This Row],[_IsLeaf]]=1,Tasks[[#This Row],[_LeafProgress]]&lt;1,Tasks[[#This Row],[_ShownFcstFinish]]&gt;=StatusDate,Tasks[[#This Row],[_ShownFcstFinish]]&lt;=LookaheadEnd),Tasks[[#This Row],[_ShownFcstFinish]]+Tasks[[#This Row],[_Row]]/100000,"")</f>
        <v/>
      </c>
      <c r="EQ65" s="41" t="str">
        <f aca="false">IF(Tasks[[#This Row],[_LeafCritical]],Tasks[[#This Row],[_ShownFcstStart]]+Tasks[[#This Row],[_Row]]/100000,"")</f>
        <v/>
      </c>
      <c r="ER65" s="41" t="n">
        <f aca="false">Tasks[[#This Row],[_LeafWork]]*Tasks[[#This Row],[_LeafProgress]]</f>
        <v>0</v>
      </c>
      <c r="ES65" s="101" t="str">
        <f aca="false">IF(AND(Tasks[[#This Row],[_IsLeaf]]=1,Tasks[[#This Row],[_LeafProgress]]&gt;=1),IF(N(Tasks[[#This Row],[Actual Finish]])&gt;0,Tasks[[#This Row],[Actual Finish]],Tasks[[#This Row],[_ShownFcstFinish]]),"")</f>
        <v/>
      </c>
      <c r="ET65" s="41" t="n">
        <f aca="false">IF(Tasks[[#This Row],[_IsLeaf]]=1,N(Tasks[[#This Row],[Story Points]]),0)</f>
        <v>0</v>
      </c>
      <c r="EU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29"/>
      <c r="O66" s="29"/>
      <c r="P66" s="29"/>
      <c r="Q66" s="29"/>
      <c r="R66" s="29"/>
      <c r="S66" s="29"/>
      <c r="T66" s="30"/>
      <c r="U66" s="75"/>
      <c r="V66" s="75"/>
      <c r="W66" s="25" t="str">
        <f aca="false">IF(Tasks[[#This Row],[Task Name]]="","",IF(N(Tasks[[#This Row],[Baseline Start]])&gt;0,Tasks[[#This Row],[Baseline Start]],Tasks[[#This Row],[_CalcStart]]))</f>
        <v/>
      </c>
      <c r="X66" s="25" t="str">
        <f aca="false">IF(Tasks[[#This Row],[Task Name]]="","",IF(N(Tasks[[#This Row],[Baseline Finish]])&gt;0,Tasks[[#This Row],[Baseline Finish]],Tasks[[#This Row],[_CalcFinish]]))</f>
        <v/>
      </c>
      <c r="Y66" s="75"/>
      <c r="Z66" s="75"/>
      <c r="AA66" s="25" t="str">
        <f aca="false">IF(Tasks[[#This Row],[Task Name]]="","",IF(Tasks[[#This Row],[_IsSummary]],MIN(INDEX(Tasks[_ShownFcstStart],Tasks[[#This Row],[_Row]]+1):INDEX(Tasks[_ShownFcstStart],Tasks[[#This Row],[_Row]]+Tasks[[#This Row],[_Descendants]])),Tasks[[#This Row],[_ShownFcstStart]]))</f>
        <v/>
      </c>
      <c r="AB66" s="25" t="str">
        <f aca="false">IF(Tasks[[#This Row],[Task Name]]="","",IF(Tasks[[#This Row],[_IsSummary]],MAX(INDEX(Tasks[_ShownFcstFinish],Tasks[[#This Row],[_Row]]+1):INDEX(Tasks[_ShownFcstFinish],Tasks[[#This Row],[_Row]]+Tasks[[#This Row],[_Descendants]])),Tasks[[#This Row],[_ShownFcstFinish]]))</f>
        <v/>
      </c>
      <c r="AC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6" s="25" t="str">
        <f aca="false">IF(Tasks[[#This Row],[Task Name]]="","",IF(Tasks[[#This Row],[_IsSummary]],MIN(INDEX(Tasks[_LeafLateStart],Tasks[[#This Row],[_Row]]+1):INDEX(Tasks[_LeafLateStart],Tasks[[#This Row],[_Row]]+Tasks[[#This Row],[_Descendants]])),Tasks[[#This Row],[_LeafLateStart]]))</f>
        <v/>
      </c>
      <c r="AF66" s="25" t="str">
        <f aca="false">IF(Tasks[[#This Row],[Task Name]]="","",IF(Tasks[[#This Row],[_IsSummary]],MAX(INDEX(Tasks[_LeafLateFinish],Tasks[[#This Row],[_Row]]+1):INDEX(Tasks[_LeafLateFinish],Tasks[[#This Row],[_Row]]+Tasks[[#This Row],[_Descendants]])),Tasks[[#This Row],[_LeafLateFinish]]))</f>
        <v/>
      </c>
      <c r="AG66" s="28" t="str">
        <f aca="false">IF(Tasks[[#This Row],[Task Name]]="","",IF(Tasks[[#This Row],[_IsSummary]],MIN(INDEX(Tasks[_LeafTotalSlack],Tasks[[#This Row],[_Row]]+1):INDEX(Tasks[_LeafTotalSlack],Tasks[[#This Row],[_Row]]+Tasks[[#This Row],[_Descendants]])),Tasks[[#This Row],[_LeafTotalSlack]]))</f>
        <v/>
      </c>
      <c r="AH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6" s="28" t="str">
        <f aca="false">IF(Tasks[[#This Row],[Task Name]]="","",IF(IF(Tasks[[#This Row],[_IsSummary]],COUNTIF(INDEX(Tasks[_LeafCritical],Tasks[[#This Row],[_Row]]+1):INDEX(Tasks[_LeafCritical],Tasks[[#This Row],[_Row]]+Tasks[[#This Row],[_Descendants]]),TRUE())&gt;0,Tasks[[#This Row],[_LeafCritical]]),"Yes",""))</f>
        <v/>
      </c>
      <c r="AJ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6" s="89"/>
      <c r="AM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6" s="28" t="str">
        <f aca="false">IF(Tasks[[#This Row],[Task Name]]="","",IF(Tasks[[#This Row],[Progress]]&gt;=1,"Complete",IF(OR(N(Tasks[[#This Row],[Actual Start]])&gt;0,Tasks[[#This Row],[Progress]]&gt;0),IF(Tasks[[#This Row],[Finish Var]]&gt;0,"Behind","In Progress"),IF(Tasks[[#This Row],[Planned Start]]&lt;StatusDate,"Late Start","Not Started"))))</f>
        <v/>
      </c>
      <c r="AO66" s="30"/>
      <c r="AP66" s="89"/>
      <c r="AQ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6" s="96" t="str">
        <f aca="false">IF(Tasks[[#This Row],[Task Name]]="","",IF(Tasks[[#This Row],[_IsSummary]],SUM(INDEX(Tasks[_LeafTotalWork],Tasks[[#This Row],[_Row]]+1):INDEX(Tasks[_LeafTotalWork],Tasks[[#This Row],[_Row]]+Tasks[[#This Row],[_Descendants]])),Tasks[[#This Row],[_LeafTotalWork]]))</f>
        <v/>
      </c>
      <c r="AT66" s="97" t="str">
        <f aca="false">IF(Tasks[[#This Row],[Task Name]]="","",IF(Tasks[[#This Row],[_IsSummary]],SUM(INDEX(Tasks[_LeafTotalCost],Tasks[[#This Row],[_Row]]+1):INDEX(Tasks[_LeafTotalCost],Tasks[[#This Row],[_Row]]+Tasks[[#This Row],[_Descendants]])),Tasks[[#This Row],[_LeafTotalCost]]))</f>
        <v/>
      </c>
      <c r="AU66" s="98"/>
      <c r="AV66" s="29"/>
      <c r="AW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6" s="83"/>
      <c r="AY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6" s="30"/>
      <c r="BA66" s="25" t="str">
        <f aca="false">IF(Tasks[[#This Row],[Task Name]]="","",Tasks[[#This Row],[Forecast Start]])</f>
        <v/>
      </c>
      <c r="BB66" s="25" t="str">
        <f aca="false">IF(Tasks[[#This Row],[Task Name]]="","",Tasks[[#This Row],[Forecast Finish]])</f>
        <v/>
      </c>
      <c r="BC66" s="28" t="str">
        <f aca="false">IF(Tasks[[#This Row],[Task Name]]="","",IF(Tasks[[#This Row],[_IsSummary]],NETWORKDAYS.INTL(Tasks[[#This Row],[Forecast Start]],Tasks[[#This Row],[Forecast Finish]],WorkWeek,Holidays),N(Tasks[[#This Row],[Duration]])))</f>
        <v/>
      </c>
      <c r="BD66" s="96" t="str">
        <f aca="false">IF(Tasks[[#This Row],[Task Name]]="","",Tasks[[#This Row],[Work]])</f>
        <v/>
      </c>
      <c r="BE66" s="97" t="str">
        <f aca="false">IF(Tasks[[#This Row],[Task Name]]="","",Tasks[[#This Row],[Cost]])</f>
        <v/>
      </c>
      <c r="BF66" s="75"/>
      <c r="BG66" s="75"/>
      <c r="BH66" s="29"/>
      <c r="BI66" s="99"/>
      <c r="BJ66" s="98"/>
      <c r="BK66" s="28" t="str">
        <f aca="false">IF(OR(Tasks[[#This Row],[Task Name]]="",Tasks[[#This Row],[Baseline Duration]]=""),"",Tasks[[#This Row],[BL Source Duration]]-N(Tasks[[#This Row],[Baseline Duration]]))</f>
        <v/>
      </c>
      <c r="BL66" s="96" t="str">
        <f aca="false">IF(OR(Tasks[[#This Row],[Task Name]]="",Tasks[[#This Row],[Baseline Work]]=""),"",Tasks[[#This Row],[Work]]-N(Tasks[[#This Row],[Baseline Work]]))</f>
        <v/>
      </c>
      <c r="BM66" s="97" t="str">
        <f aca="false">IF(OR(Tasks[[#This Row],[Task Name]]="",Tasks[[#This Row],[Baseline Cost]]=""),"",Tasks[[#This Row],[Cost]]-N(Tasks[[#This Row],[Baseline Cost]]))</f>
        <v/>
      </c>
      <c r="BN66" s="97" t="str">
        <f aca="false">IF(Tasks[[#This Row],[Task Name]]="","",IF(Tasks[[#This Row],[_IsSummary]],SUM(INDEX(Tasks[_LeafBudget],Tasks[[#This Row],[_Row]]+1):INDEX(Tasks[_LeafBudget],Tasks[[#This Row],[_Row]]+Tasks[[#This Row],[_Descendants]])),Tasks[[#This Row],[_LeafBudget]]))</f>
        <v/>
      </c>
      <c r="BO66" s="97" t="str">
        <f aca="false">IF(Tasks[[#This Row],[Task Name]]="","",IF(Tasks[[#This Row],[_IsSummary]],SUM(INDEX(Tasks[_LeafPV],Tasks[[#This Row],[_Row]]+1):INDEX(Tasks[_LeafPV],Tasks[[#This Row],[_Row]]+Tasks[[#This Row],[_Descendants]])),Tasks[[#This Row],[_LeafPV]]))</f>
        <v/>
      </c>
      <c r="BP66" s="97" t="str">
        <f aca="false">IF(Tasks[[#This Row],[Task Name]]="","",IF(Tasks[[#This Row],[_IsSummary]],SUM(INDEX(Tasks[_LeafEV],Tasks[[#This Row],[_Row]]+1):INDEX(Tasks[_LeafEV],Tasks[[#This Row],[_Row]]+Tasks[[#This Row],[_Descendants]])),Tasks[[#This Row],[_LeafEV]]))</f>
        <v/>
      </c>
      <c r="BQ66" s="97" t="str">
        <f aca="false">IF(Tasks[[#This Row],[Task Name]]="","",IF(Tasks[[#This Row],[_IsSummary]],SUM(INDEX(Tasks[_LeafAC],Tasks[[#This Row],[_Row]]+1):INDEX(Tasks[_LeafAC],Tasks[[#This Row],[_Row]]+Tasks[[#This Row],[_Descendants]])),Tasks[[#This Row],[_LeafAC]]))</f>
        <v/>
      </c>
      <c r="BR66" s="41" t="str">
        <f aca="false">IF(Tasks[[#This Row],[Task Name]]="","",MAX(1,N(Tasks[[#This Row],[Level]])))</f>
        <v/>
      </c>
      <c r="BS66" s="41" t="n">
        <f aca="false">ROW()-ROW(Tasks[[#Headers],[ID]])</f>
        <v>61</v>
      </c>
      <c r="BT66" s="41" t="n">
        <f aca="false">IF(OR(Tasks[[#This Row],[Task Name]]="",Tasks[[#This Row],[_Level]]&lt;=1),0,IFERROR(LOOKUP(2,1/(Tasks[[#Headers],[_Level]]:Tasks[[#This Row],[_Level]]=Tasks[[#This Row],[_Level]]-1),ROW(Tasks[[#Headers],[_Level]]:Tasks[[#This Row],[_Level]])),0))</f>
        <v>0</v>
      </c>
      <c r="BU66" s="41" t="n">
        <f aca="false">IFERROR(N(INDEX(Tasks[_Level],Tasks[[#This Row],[_Row]]+1)),0)</f>
        <v>0</v>
      </c>
      <c r="BV66" s="100" t="b">
        <f aca="false">AND(Tasks[[#This Row],[Task Name]]&lt;&gt;"",Tasks[[#This Row],[_NextLevel]]&gt;Tasks[[#This Row],[_Level]])</f>
        <v>0</v>
      </c>
      <c r="BW66" s="41" t="n">
        <f aca="false">IF(Tasks[[#This Row],[_IsSummary]],COUNTIF(Tasks[WBS],Tasks[[#This Row],[WBS]]&amp;".*"),0)</f>
        <v>0</v>
      </c>
      <c r="BX66" s="41" t="n">
        <f aca="false">IF(AND(Tasks[[#This Row],[Task Name]]&lt;&gt;"",NOT(Tasks[[#This Row],[_IsSummary]])),1,0)</f>
        <v>0</v>
      </c>
      <c r="BY66" s="41" t="n">
        <f aca="false">IF(N(Tasks[[#This Row],[Pred1 UID]])=0,0,IFERROR(MATCH(Tasks[[#This Row],[Pred1 UID]],Tasks[UID],0),-1))</f>
        <v>0</v>
      </c>
      <c r="BZ66" s="41" t="n">
        <f aca="false">IF(N(Tasks[[#This Row],[Pred2 UID]])=0,0,IFERROR(MATCH(Tasks[[#This Row],[Pred2 UID]],Tasks[UID],0),-1))</f>
        <v>0</v>
      </c>
      <c r="CA66" s="41" t="n">
        <f aca="false">IF(N(Tasks[[#This Row],[Pred3 UID]])=0,0,IFERROR(MATCH(Tasks[[#This Row],[Pred3 UID]],Tasks[UID],0),-1))</f>
        <v>0</v>
      </c>
      <c r="CB66" s="41" t="n">
        <f aca="false">IF(N(Tasks[[#This Row],[Pred4 UID]])=0,0,IFERROR(MATCH(Tasks[[#This Row],[Pred4 UID]],Tasks[UID],0),-1))</f>
        <v>0</v>
      </c>
      <c r="CC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6" s="101" t="n">
        <f aca="false">IF(OR(Tasks[[#This Row],[_ConstraintCode]]=2,Tasks[[#This Row],[_ConstraintCode]]=3,Tasks[[#This Row],[_ConstraintCode]]=4,Tasks[[#This Row],[_ConstraintCode]]=6),Tasks[[#This Row],[_ConstraintStart]],0)</f>
        <v>0</v>
      </c>
      <c r="CF66" s="101" t="n">
        <f aca="false">IF(OR(Tasks[[#This Row],[_ConstraintCode]]=2,Tasks[[#This Row],[_ConstraintCode]]=3,Tasks[[#This Row],[_ConstraintCode]]=5,Tasks[[#This Row],[_ConstraintCode]]=7),Tasks[[#This Row],[_ConstraintStart]],2958465)</f>
        <v>2958465</v>
      </c>
      <c r="CG6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6" s="101" t="str">
        <f aca="false">IF(NOT(Tasks[[#This Row],[_IsLeaf]]=1),"",IF(N(Tasks[[#This Row],[Duration]])&lt;=0,Tasks[[#This Row],[_LeafCalcStart]],WORKDAY.INTL(Tasks[[#This Row],[_LeafCalcStart]],Tasks[[#This Row],[Duration]]-1,WorkWeek,Holidays)))</f>
        <v/>
      </c>
      <c r="CI6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6" s="41" t="n">
        <f aca="false">IF(NOT(Tasks[[#This Row],[_IsLeaf]]=1),0,IF(N(Tasks[[#This Row],[Actual Finish]])&gt;0,1,MIN(1,N(Tasks[[#This Row],[% Complete]]))))</f>
        <v>0</v>
      </c>
      <c r="CL66" s="41" t="n">
        <f aca="false">IF(OR(NOT(Tasks[[#This Row],[_IsLeaf]]=1),Tasks[[#This Row],[Resource]]=""),0,N(Tasks[[#This Row],[Duration]])*HoursPerDay*IF(Tasks[[#This Row],[Units]]="",DefaultUnits,Tasks[[#This Row],[Units]]))</f>
        <v>0</v>
      </c>
      <c r="CM66" s="41" t="n">
        <f aca="false">IF(Tasks[[#This Row],[_LeafWork]]=0,0,Tasks[[#This Row],[_LeafWork]]*IFERROR(INDEX(res_Rate,MATCH(Tasks[[#This Row],[Resource]],res_Name,0)),0))</f>
        <v>0</v>
      </c>
      <c r="CN66" s="41" t="n">
        <f aca="false">Tasks[[#This Row],[_LeafWork]]+IF(Tasks[[#This Row],[_IsLeaf]]=1,SUMIFS(asg_Work,asg_TaskUID,Tasks[[#This Row],[UID]],asg_Valid,1),0)</f>
        <v>0</v>
      </c>
      <c r="CO66" s="41" t="n">
        <f aca="false">Tasks[[#This Row],[_LeafCost]]+IF(Tasks[[#This Row],[_IsLeaf]]=1,SUMIFS(asg_Cost,asg_TaskUID,Tasks[[#This Row],[UID]],asg_Valid,1),0)</f>
        <v>0</v>
      </c>
      <c r="CP66" s="41" t="n">
        <f aca="false">IF(Tasks[[#This Row],[_LeafTotalCost]]=0,Tasks[[#This Row],[_LeafAC]],Tasks[[#This Row],[_LeafAC]]*Tasks[[#This Row],[_LeafCost]]/Tasks[[#This Row],[_LeafTotalCost]])</f>
        <v>0</v>
      </c>
      <c r="CQ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6" s="41" t="n">
        <f aca="false">IF(NOT(Tasks[[#This Row],[_IsLeaf]]=1),0,MAX(_xlfn.MAXIFS(Tasks[_Row],Tasks[Pred1 UID],Tasks[[#This Row],[UID]]),_xlfn.MAXIFS(Tasks[_Row],Tasks[Pred2 UID],Tasks[[#This Row],[UID]]),_xlfn.MAXIFS(Tasks[_Row],Tasks[Pred3 UID],Tasks[[#This Row],[UID]]),_xlfn.MAXIFS(Tasks[_Row],Tasks[Pred4 UID],Tasks[[#This Row],[UID]])))</f>
        <v>0</v>
      </c>
      <c r="CZ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6" s="101" t="str">
        <f aca="false">IF(NOT(Tasks[[#This Row],[_IsLeaf]]=1),"",IF(N(Tasks[[#This Row],[Duration]])&lt;=0,Tasks[[#This Row],[_LeafLateFinish]],WORKDAY.INTL(Tasks[[#This Row],[_LeafLateFinish]],-(Tasks[[#This Row],[Duration]]-1),WorkWeek,Holidays)))</f>
        <v/>
      </c>
      <c r="DC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6" s="100" t="b">
        <f aca="false">AND(Tasks[[#This Row],[_IsLeaf]]=1,Tasks[[#This Row],[_LeafProgress]]&lt;1,N(Tasks[[#This Row],[_LeafTotalSlack]])&lt;=CriticalSlackDays)</f>
        <v>0</v>
      </c>
      <c r="DE66" s="41" t="n">
        <f aca="false">IF(AND(Tasks[[#This Row],[_IsLeaf]]=1,Tasks[[#This Row],[_ConstraintCode]]=1,Tasks[[#This Row],[Mode]]&lt;&gt;"Manual",N(Tasks[[#This Row],[Actual Start]])=0),MAX(0,N(Tasks[[#This Row],[Free Slack]])),0)</f>
        <v>0</v>
      </c>
      <c r="DF66" s="101" t="str">
        <f aca="false">IF(NOT(Tasks[[#This Row],[_IsLeaf]]=1),"",IF(Tasks[[#This Row],[_AlapShift]]=0,Tasks[[#This Row],[_LeafCalcStart]],WORKDAY.INTL(Tasks[[#This Row],[_LeafCalcStart]],Tasks[[#This Row],[_AlapShift]],WorkWeek,Holidays)))</f>
        <v/>
      </c>
      <c r="DG66" s="101" t="str">
        <f aca="false">IF(NOT(Tasks[[#This Row],[_IsLeaf]]=1),"",IF(Tasks[[#This Row],[_AlapShift]]=0,Tasks[[#This Row],[_LeafCalcFinish]],WORKDAY.INTL(Tasks[[#This Row],[_LeafCalcFinish]],Tasks[[#This Row],[_AlapShift]],WorkWeek,Holidays)))</f>
        <v/>
      </c>
      <c r="DH66" s="101" t="str">
        <f aca="false">IF(NOT(Tasks[[#This Row],[_IsLeaf]]=1),"",IF(Tasks[[#This Row],[_AlapShift]]=0,Tasks[[#This Row],[_LeafFcstStart]],WORKDAY.INTL(Tasks[[#This Row],[_LeafFcstStart]],Tasks[[#This Row],[_AlapShift]],WorkWeek,Holidays)))</f>
        <v/>
      </c>
      <c r="DI66" s="101" t="str">
        <f aca="false">IF(NOT(Tasks[[#This Row],[_IsLeaf]]=1),"",IF(Tasks[[#This Row],[_AlapShift]]=0,Tasks[[#This Row],[_LeafFcstFinish]],WORKDAY.INTL(Tasks[[#This Row],[_LeafFcstFinish]],Tasks[[#This Row],[_AlapShift]],WorkWeek,Holidays)))</f>
        <v/>
      </c>
      <c r="DJ66" s="101" t="str">
        <f aca="false">IF(Tasks[[#This Row],[Task Name]]="","",IF(Tasks[[#This Row],[_IsSummary]],MIN(INDEX(Tasks[_ShownCalcStart],Tasks[[#This Row],[_Row]]+1):INDEX(Tasks[_ShownCalcStart],Tasks[[#This Row],[_Row]]+Tasks[[#This Row],[_Descendants]])),Tasks[[#This Row],[_ShownCalcStart]]))</f>
        <v/>
      </c>
      <c r="DK66" s="101" t="str">
        <f aca="false">IF(Tasks[[#This Row],[Task Name]]="","",IF(Tasks[[#This Row],[_IsSummary]],MAX(INDEX(Tasks[_ShownCalcFinish],Tasks[[#This Row],[_Row]]+1):INDEX(Tasks[_ShownCalcFinish],Tasks[[#This Row],[_Row]]+Tasks[[#This Row],[_Descendants]])),Tasks[[#This Row],[_ShownCalcFinish]]))</f>
        <v/>
      </c>
      <c r="D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6" s="41" t="n">
        <f aca="false">IF(AND(Tasks[[#This Row],[_IsLeaf]]=1,Tasks[[#This Row],[_LeafTotalWork]]&gt;0),NETWORKDAYS.INTL(ProjectStart,Tasks[[#This Row],[_ShownFcstStart]],WorkWeek,Holidays),0)</f>
        <v>0</v>
      </c>
      <c r="DY66" s="41" t="n">
        <f aca="false">IF(AND(Tasks[[#This Row],[_IsLeaf]]=1,Tasks[[#This Row],[_LeafTotalWork]]&gt;0),MAX(Tasks[[#This Row],[_StartWorkday]],NETWORKDAYS.INTL(ProjectStart,Tasks[[#This Row],[_ShownFcstFinish]],WorkWeek,Holidays)),0)</f>
        <v>0</v>
      </c>
      <c r="DZ66" s="41" t="n">
        <f aca="false">IF(AND(Tasks[[#This Row],[_IsLeaf]]=1,Tasks[[#This Row],[_LeafTotalWork]]&gt;0),Tasks[[#This Row],[_LeafWork]]/(Tasks[[#This Row],[_FinishWorkday]]-Tasks[[#This Row],[_StartWorkday]]+1),0)</f>
        <v>0</v>
      </c>
      <c r="EA66" s="41" t="n">
        <f aca="false">Tasks[[#This Row],[_WorkPerWorkday]]*(Tasks[[#This Row],[_StartWorkday]]-1)</f>
        <v>-0</v>
      </c>
      <c r="EB66" s="41" t="n">
        <f aca="false">IF(Tasks[[#This Row],[_IsLeaf]]=1,MAX(N(Tasks[[#This Row],[Duration]]),0.1),0)</f>
        <v>0</v>
      </c>
      <c r="EC66" s="41" t="n">
        <f aca="false">Tasks[[#This Row],[_WeightDur]]*Tasks[[#This Row],[_LeafProgress]]</f>
        <v>0</v>
      </c>
      <c r="ED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6" s="41" t="str">
        <f aca="false">IF(AND(Tasks[[#This Row],[_IsLeaf]]=1,N(Tasks[[#This Row],[Duration]])=0,Tasks[[#This Row],[_LeafProgress]]&lt;1),Tasks[[#This Row],[_ShownFcstFinish]]+Tasks[[#This Row],[_Row]]/100000,"")</f>
        <v/>
      </c>
      <c r="EF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6" s="41" t="n">
        <f aca="false">IF(NOT(Tasks[[#This Row],[_IsLeaf]]=1),0,IF(Tasks[[#This Row],[Baseline Cost]]="",Tasks[[#This Row],[_LeafTotalCost]],N(Tasks[[#This Row],[Baseline Cost]])))</f>
        <v>0</v>
      </c>
      <c r="EH66" s="41" t="n">
        <f aca="false">Tasks[[#This Row],[_LeafBudget]]*Tasks[[#This Row],[_PlannedPct]]</f>
        <v>0</v>
      </c>
      <c r="EI66" s="41" t="n">
        <f aca="false">Tasks[[#This Row],[_LeafBudget]]*Tasks[[#This Row],[_LeafProgress]]</f>
        <v>0</v>
      </c>
      <c r="EJ66" s="41" t="n">
        <f aca="false">IF(NOT(Tasks[[#This Row],[_IsLeaf]]=1),0,IF(Tasks[[#This Row],[Actual Cost]]="",Tasks[[#This Row],[_LeafTotalCost]]*Tasks[[#This Row],[_LeafProgress]],N(Tasks[[#This Row],[Actual Cost]])))</f>
        <v>0</v>
      </c>
      <c r="EK66" s="41" t="str">
        <f aca="false">IF(Tasks[[#This Row],[Task Name]]="","",LEFT(Tasks[[#This Row],[WBS]],FIND(".",Tasks[[#This Row],[WBS]]&amp;".")-1))</f>
        <v/>
      </c>
      <c r="EL66" s="41" t="str">
        <f aca="false">IF(AND(Tasks[[#This Row],[Task Name]]&lt;&gt;"",Tasks[[#This Row],[_Level]]=1),Tasks[[#This Row],[_Row]],"")</f>
        <v/>
      </c>
      <c r="EM66" s="41" t="str">
        <f aca="false">IF(AND(Tasks[[#This Row],[_IsLeaf]]=1,N(Tasks[[#This Row],[Duration]])=0),Tasks[[#This Row],[Planned Finish]]+Tasks[[#This Row],[_Row]]/100000,"")</f>
        <v/>
      </c>
      <c r="EN66" s="41" t="str">
        <f aca="false">IF(AND(Tasks[[#This Row],[_IsLeaf]]=1,Tasks[[#This Row],[_LeafProgress]]&lt;1,OR(N(Tasks[[#This Row],[Finish Var]])&gt;0,Tasks[[#This Row],[Status]]="Late Start")),MAX(0,Tasks[[#This Row],[Finish Var]])+1-Tasks[[#This Row],[_Row]]/1000000,"")</f>
        <v/>
      </c>
      <c r="EO66" s="41" t="str">
        <f aca="false">IF(AND(Tasks[[#This Row],[_IsLeaf]]=1,N(Tasks[[#This Row],[Actual Start]])=0,Tasks[[#This Row],[_ShownFcstStart]]&gt;=StatusDate,Tasks[[#This Row],[_ShownFcstStart]]&lt;=LookaheadEnd),Tasks[[#This Row],[_ShownFcstStart]]+Tasks[[#This Row],[_Row]]/100000,"")</f>
        <v/>
      </c>
      <c r="EP66" s="41" t="str">
        <f aca="false">IF(AND(Tasks[[#This Row],[_IsLeaf]]=1,Tasks[[#This Row],[_LeafProgress]]&lt;1,Tasks[[#This Row],[_ShownFcstFinish]]&gt;=StatusDate,Tasks[[#This Row],[_ShownFcstFinish]]&lt;=LookaheadEnd),Tasks[[#This Row],[_ShownFcstFinish]]+Tasks[[#This Row],[_Row]]/100000,"")</f>
        <v/>
      </c>
      <c r="EQ66" s="41" t="str">
        <f aca="false">IF(Tasks[[#This Row],[_LeafCritical]],Tasks[[#This Row],[_ShownFcstStart]]+Tasks[[#This Row],[_Row]]/100000,"")</f>
        <v/>
      </c>
      <c r="ER66" s="41" t="n">
        <f aca="false">Tasks[[#This Row],[_LeafWork]]*Tasks[[#This Row],[_LeafProgress]]</f>
        <v>0</v>
      </c>
      <c r="ES66" s="101" t="str">
        <f aca="false">IF(AND(Tasks[[#This Row],[_IsLeaf]]=1,Tasks[[#This Row],[_LeafProgress]]&gt;=1),IF(N(Tasks[[#This Row],[Actual Finish]])&gt;0,Tasks[[#This Row],[Actual Finish]],Tasks[[#This Row],[_ShownFcstFinish]]),"")</f>
        <v/>
      </c>
      <c r="ET66" s="41" t="n">
        <f aca="false">IF(Tasks[[#This Row],[_IsLeaf]]=1,N(Tasks[[#This Row],[Story Points]]),0)</f>
        <v>0</v>
      </c>
      <c r="EU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29"/>
      <c r="O67" s="29"/>
      <c r="P67" s="29"/>
      <c r="Q67" s="29"/>
      <c r="R67" s="29"/>
      <c r="S67" s="29"/>
      <c r="T67" s="30"/>
      <c r="U67" s="75"/>
      <c r="V67" s="75"/>
      <c r="W67" s="25" t="str">
        <f aca="false">IF(Tasks[[#This Row],[Task Name]]="","",IF(N(Tasks[[#This Row],[Baseline Start]])&gt;0,Tasks[[#This Row],[Baseline Start]],Tasks[[#This Row],[_CalcStart]]))</f>
        <v/>
      </c>
      <c r="X67" s="25" t="str">
        <f aca="false">IF(Tasks[[#This Row],[Task Name]]="","",IF(N(Tasks[[#This Row],[Baseline Finish]])&gt;0,Tasks[[#This Row],[Baseline Finish]],Tasks[[#This Row],[_CalcFinish]]))</f>
        <v/>
      </c>
      <c r="Y67" s="75"/>
      <c r="Z67" s="75"/>
      <c r="AA67" s="25" t="str">
        <f aca="false">IF(Tasks[[#This Row],[Task Name]]="","",IF(Tasks[[#This Row],[_IsSummary]],MIN(INDEX(Tasks[_ShownFcstStart],Tasks[[#This Row],[_Row]]+1):INDEX(Tasks[_ShownFcstStart],Tasks[[#This Row],[_Row]]+Tasks[[#This Row],[_Descendants]])),Tasks[[#This Row],[_ShownFcstStart]]))</f>
        <v/>
      </c>
      <c r="AB67" s="25" t="str">
        <f aca="false">IF(Tasks[[#This Row],[Task Name]]="","",IF(Tasks[[#This Row],[_IsSummary]],MAX(INDEX(Tasks[_ShownFcstFinish],Tasks[[#This Row],[_Row]]+1):INDEX(Tasks[_ShownFcstFinish],Tasks[[#This Row],[_Row]]+Tasks[[#This Row],[_Descendants]])),Tasks[[#This Row],[_ShownFcstFinish]]))</f>
        <v/>
      </c>
      <c r="AC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7" s="25" t="str">
        <f aca="false">IF(Tasks[[#This Row],[Task Name]]="","",IF(Tasks[[#This Row],[_IsSummary]],MIN(INDEX(Tasks[_LeafLateStart],Tasks[[#This Row],[_Row]]+1):INDEX(Tasks[_LeafLateStart],Tasks[[#This Row],[_Row]]+Tasks[[#This Row],[_Descendants]])),Tasks[[#This Row],[_LeafLateStart]]))</f>
        <v/>
      </c>
      <c r="AF67" s="25" t="str">
        <f aca="false">IF(Tasks[[#This Row],[Task Name]]="","",IF(Tasks[[#This Row],[_IsSummary]],MAX(INDEX(Tasks[_LeafLateFinish],Tasks[[#This Row],[_Row]]+1):INDEX(Tasks[_LeafLateFinish],Tasks[[#This Row],[_Row]]+Tasks[[#This Row],[_Descendants]])),Tasks[[#This Row],[_LeafLateFinish]]))</f>
        <v/>
      </c>
      <c r="AG67" s="28" t="str">
        <f aca="false">IF(Tasks[[#This Row],[Task Name]]="","",IF(Tasks[[#This Row],[_IsSummary]],MIN(INDEX(Tasks[_LeafTotalSlack],Tasks[[#This Row],[_Row]]+1):INDEX(Tasks[_LeafTotalSlack],Tasks[[#This Row],[_Row]]+Tasks[[#This Row],[_Descendants]])),Tasks[[#This Row],[_LeafTotalSlack]]))</f>
        <v/>
      </c>
      <c r="AH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7" s="28" t="str">
        <f aca="false">IF(Tasks[[#This Row],[Task Name]]="","",IF(IF(Tasks[[#This Row],[_IsSummary]],COUNTIF(INDEX(Tasks[_LeafCritical],Tasks[[#This Row],[_Row]]+1):INDEX(Tasks[_LeafCritical],Tasks[[#This Row],[_Row]]+Tasks[[#This Row],[_Descendants]]),TRUE())&gt;0,Tasks[[#This Row],[_LeafCritical]]),"Yes",""))</f>
        <v/>
      </c>
      <c r="AJ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7" s="89"/>
      <c r="AM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7" s="28" t="str">
        <f aca="false">IF(Tasks[[#This Row],[Task Name]]="","",IF(Tasks[[#This Row],[Progress]]&gt;=1,"Complete",IF(OR(N(Tasks[[#This Row],[Actual Start]])&gt;0,Tasks[[#This Row],[Progress]]&gt;0),IF(Tasks[[#This Row],[Finish Var]]&gt;0,"Behind","In Progress"),IF(Tasks[[#This Row],[Planned Start]]&lt;StatusDate,"Late Start","Not Started"))))</f>
        <v/>
      </c>
      <c r="AO67" s="30"/>
      <c r="AP67" s="89"/>
      <c r="AQ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7" s="96" t="str">
        <f aca="false">IF(Tasks[[#This Row],[Task Name]]="","",IF(Tasks[[#This Row],[_IsSummary]],SUM(INDEX(Tasks[_LeafTotalWork],Tasks[[#This Row],[_Row]]+1):INDEX(Tasks[_LeafTotalWork],Tasks[[#This Row],[_Row]]+Tasks[[#This Row],[_Descendants]])),Tasks[[#This Row],[_LeafTotalWork]]))</f>
        <v/>
      </c>
      <c r="AT67" s="97" t="str">
        <f aca="false">IF(Tasks[[#This Row],[Task Name]]="","",IF(Tasks[[#This Row],[_IsSummary]],SUM(INDEX(Tasks[_LeafTotalCost],Tasks[[#This Row],[_Row]]+1):INDEX(Tasks[_LeafTotalCost],Tasks[[#This Row],[_Row]]+Tasks[[#This Row],[_Descendants]])),Tasks[[#This Row],[_LeafTotalCost]]))</f>
        <v/>
      </c>
      <c r="AU67" s="98"/>
      <c r="AV67" s="29"/>
      <c r="AW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7" s="83"/>
      <c r="AY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7" s="30"/>
      <c r="BA67" s="25" t="str">
        <f aca="false">IF(Tasks[[#This Row],[Task Name]]="","",Tasks[[#This Row],[Forecast Start]])</f>
        <v/>
      </c>
      <c r="BB67" s="25" t="str">
        <f aca="false">IF(Tasks[[#This Row],[Task Name]]="","",Tasks[[#This Row],[Forecast Finish]])</f>
        <v/>
      </c>
      <c r="BC67" s="28" t="str">
        <f aca="false">IF(Tasks[[#This Row],[Task Name]]="","",IF(Tasks[[#This Row],[_IsSummary]],NETWORKDAYS.INTL(Tasks[[#This Row],[Forecast Start]],Tasks[[#This Row],[Forecast Finish]],WorkWeek,Holidays),N(Tasks[[#This Row],[Duration]])))</f>
        <v/>
      </c>
      <c r="BD67" s="96" t="str">
        <f aca="false">IF(Tasks[[#This Row],[Task Name]]="","",Tasks[[#This Row],[Work]])</f>
        <v/>
      </c>
      <c r="BE67" s="97" t="str">
        <f aca="false">IF(Tasks[[#This Row],[Task Name]]="","",Tasks[[#This Row],[Cost]])</f>
        <v/>
      </c>
      <c r="BF67" s="75"/>
      <c r="BG67" s="75"/>
      <c r="BH67" s="29"/>
      <c r="BI67" s="99"/>
      <c r="BJ67" s="98"/>
      <c r="BK67" s="28" t="str">
        <f aca="false">IF(OR(Tasks[[#This Row],[Task Name]]="",Tasks[[#This Row],[Baseline Duration]]=""),"",Tasks[[#This Row],[BL Source Duration]]-N(Tasks[[#This Row],[Baseline Duration]]))</f>
        <v/>
      </c>
      <c r="BL67" s="96" t="str">
        <f aca="false">IF(OR(Tasks[[#This Row],[Task Name]]="",Tasks[[#This Row],[Baseline Work]]=""),"",Tasks[[#This Row],[Work]]-N(Tasks[[#This Row],[Baseline Work]]))</f>
        <v/>
      </c>
      <c r="BM67" s="97" t="str">
        <f aca="false">IF(OR(Tasks[[#This Row],[Task Name]]="",Tasks[[#This Row],[Baseline Cost]]=""),"",Tasks[[#This Row],[Cost]]-N(Tasks[[#This Row],[Baseline Cost]]))</f>
        <v/>
      </c>
      <c r="BN67" s="97" t="str">
        <f aca="false">IF(Tasks[[#This Row],[Task Name]]="","",IF(Tasks[[#This Row],[_IsSummary]],SUM(INDEX(Tasks[_LeafBudget],Tasks[[#This Row],[_Row]]+1):INDEX(Tasks[_LeafBudget],Tasks[[#This Row],[_Row]]+Tasks[[#This Row],[_Descendants]])),Tasks[[#This Row],[_LeafBudget]]))</f>
        <v/>
      </c>
      <c r="BO67" s="97" t="str">
        <f aca="false">IF(Tasks[[#This Row],[Task Name]]="","",IF(Tasks[[#This Row],[_IsSummary]],SUM(INDEX(Tasks[_LeafPV],Tasks[[#This Row],[_Row]]+1):INDEX(Tasks[_LeafPV],Tasks[[#This Row],[_Row]]+Tasks[[#This Row],[_Descendants]])),Tasks[[#This Row],[_LeafPV]]))</f>
        <v/>
      </c>
      <c r="BP67" s="97" t="str">
        <f aca="false">IF(Tasks[[#This Row],[Task Name]]="","",IF(Tasks[[#This Row],[_IsSummary]],SUM(INDEX(Tasks[_LeafEV],Tasks[[#This Row],[_Row]]+1):INDEX(Tasks[_LeafEV],Tasks[[#This Row],[_Row]]+Tasks[[#This Row],[_Descendants]])),Tasks[[#This Row],[_LeafEV]]))</f>
        <v/>
      </c>
      <c r="BQ67" s="97" t="str">
        <f aca="false">IF(Tasks[[#This Row],[Task Name]]="","",IF(Tasks[[#This Row],[_IsSummary]],SUM(INDEX(Tasks[_LeafAC],Tasks[[#This Row],[_Row]]+1):INDEX(Tasks[_LeafAC],Tasks[[#This Row],[_Row]]+Tasks[[#This Row],[_Descendants]])),Tasks[[#This Row],[_LeafAC]]))</f>
        <v/>
      </c>
      <c r="BR67" s="41" t="str">
        <f aca="false">IF(Tasks[[#This Row],[Task Name]]="","",MAX(1,N(Tasks[[#This Row],[Level]])))</f>
        <v/>
      </c>
      <c r="BS67" s="41" t="n">
        <f aca="false">ROW()-ROW(Tasks[[#Headers],[ID]])</f>
        <v>62</v>
      </c>
      <c r="BT67" s="41" t="n">
        <f aca="false">IF(OR(Tasks[[#This Row],[Task Name]]="",Tasks[[#This Row],[_Level]]&lt;=1),0,IFERROR(LOOKUP(2,1/(Tasks[[#Headers],[_Level]]:Tasks[[#This Row],[_Level]]=Tasks[[#This Row],[_Level]]-1),ROW(Tasks[[#Headers],[_Level]]:Tasks[[#This Row],[_Level]])),0))</f>
        <v>0</v>
      </c>
      <c r="BU67" s="41" t="n">
        <f aca="false">IFERROR(N(INDEX(Tasks[_Level],Tasks[[#This Row],[_Row]]+1)),0)</f>
        <v>0</v>
      </c>
      <c r="BV67" s="100" t="b">
        <f aca="false">AND(Tasks[[#This Row],[Task Name]]&lt;&gt;"",Tasks[[#This Row],[_NextLevel]]&gt;Tasks[[#This Row],[_Level]])</f>
        <v>0</v>
      </c>
      <c r="BW67" s="41" t="n">
        <f aca="false">IF(Tasks[[#This Row],[_IsSummary]],COUNTIF(Tasks[WBS],Tasks[[#This Row],[WBS]]&amp;".*"),0)</f>
        <v>0</v>
      </c>
      <c r="BX67" s="41" t="n">
        <f aca="false">IF(AND(Tasks[[#This Row],[Task Name]]&lt;&gt;"",NOT(Tasks[[#This Row],[_IsSummary]])),1,0)</f>
        <v>0</v>
      </c>
      <c r="BY67" s="41" t="n">
        <f aca="false">IF(N(Tasks[[#This Row],[Pred1 UID]])=0,0,IFERROR(MATCH(Tasks[[#This Row],[Pred1 UID]],Tasks[UID],0),-1))</f>
        <v>0</v>
      </c>
      <c r="BZ67" s="41" t="n">
        <f aca="false">IF(N(Tasks[[#This Row],[Pred2 UID]])=0,0,IFERROR(MATCH(Tasks[[#This Row],[Pred2 UID]],Tasks[UID],0),-1))</f>
        <v>0</v>
      </c>
      <c r="CA67" s="41" t="n">
        <f aca="false">IF(N(Tasks[[#This Row],[Pred3 UID]])=0,0,IFERROR(MATCH(Tasks[[#This Row],[Pred3 UID]],Tasks[UID],0),-1))</f>
        <v>0</v>
      </c>
      <c r="CB67" s="41" t="n">
        <f aca="false">IF(N(Tasks[[#This Row],[Pred4 UID]])=0,0,IFERROR(MATCH(Tasks[[#This Row],[Pred4 UID]],Tasks[UID],0),-1))</f>
        <v>0</v>
      </c>
      <c r="CC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7" s="101" t="n">
        <f aca="false">IF(OR(Tasks[[#This Row],[_ConstraintCode]]=2,Tasks[[#This Row],[_ConstraintCode]]=3,Tasks[[#This Row],[_ConstraintCode]]=4,Tasks[[#This Row],[_ConstraintCode]]=6),Tasks[[#This Row],[_ConstraintStart]],0)</f>
        <v>0</v>
      </c>
      <c r="CF67" s="101" t="n">
        <f aca="false">IF(OR(Tasks[[#This Row],[_ConstraintCode]]=2,Tasks[[#This Row],[_ConstraintCode]]=3,Tasks[[#This Row],[_ConstraintCode]]=5,Tasks[[#This Row],[_ConstraintCode]]=7),Tasks[[#This Row],[_ConstraintStart]],2958465)</f>
        <v>2958465</v>
      </c>
      <c r="CG6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7" s="101" t="str">
        <f aca="false">IF(NOT(Tasks[[#This Row],[_IsLeaf]]=1),"",IF(N(Tasks[[#This Row],[Duration]])&lt;=0,Tasks[[#This Row],[_LeafCalcStart]],WORKDAY.INTL(Tasks[[#This Row],[_LeafCalcStart]],Tasks[[#This Row],[Duration]]-1,WorkWeek,Holidays)))</f>
        <v/>
      </c>
      <c r="CI6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7" s="41" t="n">
        <f aca="false">IF(NOT(Tasks[[#This Row],[_IsLeaf]]=1),0,IF(N(Tasks[[#This Row],[Actual Finish]])&gt;0,1,MIN(1,N(Tasks[[#This Row],[% Complete]]))))</f>
        <v>0</v>
      </c>
      <c r="CL67" s="41" t="n">
        <f aca="false">IF(OR(NOT(Tasks[[#This Row],[_IsLeaf]]=1),Tasks[[#This Row],[Resource]]=""),0,N(Tasks[[#This Row],[Duration]])*HoursPerDay*IF(Tasks[[#This Row],[Units]]="",DefaultUnits,Tasks[[#This Row],[Units]]))</f>
        <v>0</v>
      </c>
      <c r="CM67" s="41" t="n">
        <f aca="false">IF(Tasks[[#This Row],[_LeafWork]]=0,0,Tasks[[#This Row],[_LeafWork]]*IFERROR(INDEX(res_Rate,MATCH(Tasks[[#This Row],[Resource]],res_Name,0)),0))</f>
        <v>0</v>
      </c>
      <c r="CN67" s="41" t="n">
        <f aca="false">Tasks[[#This Row],[_LeafWork]]+IF(Tasks[[#This Row],[_IsLeaf]]=1,SUMIFS(asg_Work,asg_TaskUID,Tasks[[#This Row],[UID]],asg_Valid,1),0)</f>
        <v>0</v>
      </c>
      <c r="CO67" s="41" t="n">
        <f aca="false">Tasks[[#This Row],[_LeafCost]]+IF(Tasks[[#This Row],[_IsLeaf]]=1,SUMIFS(asg_Cost,asg_TaskUID,Tasks[[#This Row],[UID]],asg_Valid,1),0)</f>
        <v>0</v>
      </c>
      <c r="CP67" s="41" t="n">
        <f aca="false">IF(Tasks[[#This Row],[_LeafTotalCost]]=0,Tasks[[#This Row],[_LeafAC]],Tasks[[#This Row],[_LeafAC]]*Tasks[[#This Row],[_LeafCost]]/Tasks[[#This Row],[_LeafTotalCost]])</f>
        <v>0</v>
      </c>
      <c r="CQ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7" s="41" t="n">
        <f aca="false">IF(NOT(Tasks[[#This Row],[_IsLeaf]]=1),0,MAX(_xlfn.MAXIFS(Tasks[_Row],Tasks[Pred1 UID],Tasks[[#This Row],[UID]]),_xlfn.MAXIFS(Tasks[_Row],Tasks[Pred2 UID],Tasks[[#This Row],[UID]]),_xlfn.MAXIFS(Tasks[_Row],Tasks[Pred3 UID],Tasks[[#This Row],[UID]]),_xlfn.MAXIFS(Tasks[_Row],Tasks[Pred4 UID],Tasks[[#This Row],[UID]])))</f>
        <v>0</v>
      </c>
      <c r="CZ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7" s="101" t="str">
        <f aca="false">IF(NOT(Tasks[[#This Row],[_IsLeaf]]=1),"",IF(N(Tasks[[#This Row],[Duration]])&lt;=0,Tasks[[#This Row],[_LeafLateFinish]],WORKDAY.INTL(Tasks[[#This Row],[_LeafLateFinish]],-(Tasks[[#This Row],[Duration]]-1),WorkWeek,Holidays)))</f>
        <v/>
      </c>
      <c r="DC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7" s="100" t="b">
        <f aca="false">AND(Tasks[[#This Row],[_IsLeaf]]=1,Tasks[[#This Row],[_LeafProgress]]&lt;1,N(Tasks[[#This Row],[_LeafTotalSlack]])&lt;=CriticalSlackDays)</f>
        <v>0</v>
      </c>
      <c r="DE67" s="41" t="n">
        <f aca="false">IF(AND(Tasks[[#This Row],[_IsLeaf]]=1,Tasks[[#This Row],[_ConstraintCode]]=1,Tasks[[#This Row],[Mode]]&lt;&gt;"Manual",N(Tasks[[#This Row],[Actual Start]])=0),MAX(0,N(Tasks[[#This Row],[Free Slack]])),0)</f>
        <v>0</v>
      </c>
      <c r="DF67" s="101" t="str">
        <f aca="false">IF(NOT(Tasks[[#This Row],[_IsLeaf]]=1),"",IF(Tasks[[#This Row],[_AlapShift]]=0,Tasks[[#This Row],[_LeafCalcStart]],WORKDAY.INTL(Tasks[[#This Row],[_LeafCalcStart]],Tasks[[#This Row],[_AlapShift]],WorkWeek,Holidays)))</f>
        <v/>
      </c>
      <c r="DG67" s="101" t="str">
        <f aca="false">IF(NOT(Tasks[[#This Row],[_IsLeaf]]=1),"",IF(Tasks[[#This Row],[_AlapShift]]=0,Tasks[[#This Row],[_LeafCalcFinish]],WORKDAY.INTL(Tasks[[#This Row],[_LeafCalcFinish]],Tasks[[#This Row],[_AlapShift]],WorkWeek,Holidays)))</f>
        <v/>
      </c>
      <c r="DH67" s="101" t="str">
        <f aca="false">IF(NOT(Tasks[[#This Row],[_IsLeaf]]=1),"",IF(Tasks[[#This Row],[_AlapShift]]=0,Tasks[[#This Row],[_LeafFcstStart]],WORKDAY.INTL(Tasks[[#This Row],[_LeafFcstStart]],Tasks[[#This Row],[_AlapShift]],WorkWeek,Holidays)))</f>
        <v/>
      </c>
      <c r="DI67" s="101" t="str">
        <f aca="false">IF(NOT(Tasks[[#This Row],[_IsLeaf]]=1),"",IF(Tasks[[#This Row],[_AlapShift]]=0,Tasks[[#This Row],[_LeafFcstFinish]],WORKDAY.INTL(Tasks[[#This Row],[_LeafFcstFinish]],Tasks[[#This Row],[_AlapShift]],WorkWeek,Holidays)))</f>
        <v/>
      </c>
      <c r="DJ67" s="101" t="str">
        <f aca="false">IF(Tasks[[#This Row],[Task Name]]="","",IF(Tasks[[#This Row],[_IsSummary]],MIN(INDEX(Tasks[_ShownCalcStart],Tasks[[#This Row],[_Row]]+1):INDEX(Tasks[_ShownCalcStart],Tasks[[#This Row],[_Row]]+Tasks[[#This Row],[_Descendants]])),Tasks[[#This Row],[_ShownCalcStart]]))</f>
        <v/>
      </c>
      <c r="DK67" s="101" t="str">
        <f aca="false">IF(Tasks[[#This Row],[Task Name]]="","",IF(Tasks[[#This Row],[_IsSummary]],MAX(INDEX(Tasks[_ShownCalcFinish],Tasks[[#This Row],[_Row]]+1):INDEX(Tasks[_ShownCalcFinish],Tasks[[#This Row],[_Row]]+Tasks[[#This Row],[_Descendants]])),Tasks[[#This Row],[_ShownCalcFinish]]))</f>
        <v/>
      </c>
      <c r="D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7" s="41" t="n">
        <f aca="false">IF(AND(Tasks[[#This Row],[_IsLeaf]]=1,Tasks[[#This Row],[_LeafTotalWork]]&gt;0),NETWORKDAYS.INTL(ProjectStart,Tasks[[#This Row],[_ShownFcstStart]],WorkWeek,Holidays),0)</f>
        <v>0</v>
      </c>
      <c r="DY67" s="41" t="n">
        <f aca="false">IF(AND(Tasks[[#This Row],[_IsLeaf]]=1,Tasks[[#This Row],[_LeafTotalWork]]&gt;0),MAX(Tasks[[#This Row],[_StartWorkday]],NETWORKDAYS.INTL(ProjectStart,Tasks[[#This Row],[_ShownFcstFinish]],WorkWeek,Holidays)),0)</f>
        <v>0</v>
      </c>
      <c r="DZ67" s="41" t="n">
        <f aca="false">IF(AND(Tasks[[#This Row],[_IsLeaf]]=1,Tasks[[#This Row],[_LeafTotalWork]]&gt;0),Tasks[[#This Row],[_LeafWork]]/(Tasks[[#This Row],[_FinishWorkday]]-Tasks[[#This Row],[_StartWorkday]]+1),0)</f>
        <v>0</v>
      </c>
      <c r="EA67" s="41" t="n">
        <f aca="false">Tasks[[#This Row],[_WorkPerWorkday]]*(Tasks[[#This Row],[_StartWorkday]]-1)</f>
        <v>-0</v>
      </c>
      <c r="EB67" s="41" t="n">
        <f aca="false">IF(Tasks[[#This Row],[_IsLeaf]]=1,MAX(N(Tasks[[#This Row],[Duration]]),0.1),0)</f>
        <v>0</v>
      </c>
      <c r="EC67" s="41" t="n">
        <f aca="false">Tasks[[#This Row],[_WeightDur]]*Tasks[[#This Row],[_LeafProgress]]</f>
        <v>0</v>
      </c>
      <c r="ED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7" s="41" t="str">
        <f aca="false">IF(AND(Tasks[[#This Row],[_IsLeaf]]=1,N(Tasks[[#This Row],[Duration]])=0,Tasks[[#This Row],[_LeafProgress]]&lt;1),Tasks[[#This Row],[_ShownFcstFinish]]+Tasks[[#This Row],[_Row]]/100000,"")</f>
        <v/>
      </c>
      <c r="EF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7" s="41" t="n">
        <f aca="false">IF(NOT(Tasks[[#This Row],[_IsLeaf]]=1),0,IF(Tasks[[#This Row],[Baseline Cost]]="",Tasks[[#This Row],[_LeafTotalCost]],N(Tasks[[#This Row],[Baseline Cost]])))</f>
        <v>0</v>
      </c>
      <c r="EH67" s="41" t="n">
        <f aca="false">Tasks[[#This Row],[_LeafBudget]]*Tasks[[#This Row],[_PlannedPct]]</f>
        <v>0</v>
      </c>
      <c r="EI67" s="41" t="n">
        <f aca="false">Tasks[[#This Row],[_LeafBudget]]*Tasks[[#This Row],[_LeafProgress]]</f>
        <v>0</v>
      </c>
      <c r="EJ67" s="41" t="n">
        <f aca="false">IF(NOT(Tasks[[#This Row],[_IsLeaf]]=1),0,IF(Tasks[[#This Row],[Actual Cost]]="",Tasks[[#This Row],[_LeafTotalCost]]*Tasks[[#This Row],[_LeafProgress]],N(Tasks[[#This Row],[Actual Cost]])))</f>
        <v>0</v>
      </c>
      <c r="EK67" s="41" t="str">
        <f aca="false">IF(Tasks[[#This Row],[Task Name]]="","",LEFT(Tasks[[#This Row],[WBS]],FIND(".",Tasks[[#This Row],[WBS]]&amp;".")-1))</f>
        <v/>
      </c>
      <c r="EL67" s="41" t="str">
        <f aca="false">IF(AND(Tasks[[#This Row],[Task Name]]&lt;&gt;"",Tasks[[#This Row],[_Level]]=1),Tasks[[#This Row],[_Row]],"")</f>
        <v/>
      </c>
      <c r="EM67" s="41" t="str">
        <f aca="false">IF(AND(Tasks[[#This Row],[_IsLeaf]]=1,N(Tasks[[#This Row],[Duration]])=0),Tasks[[#This Row],[Planned Finish]]+Tasks[[#This Row],[_Row]]/100000,"")</f>
        <v/>
      </c>
      <c r="EN67" s="41" t="str">
        <f aca="false">IF(AND(Tasks[[#This Row],[_IsLeaf]]=1,Tasks[[#This Row],[_LeafProgress]]&lt;1,OR(N(Tasks[[#This Row],[Finish Var]])&gt;0,Tasks[[#This Row],[Status]]="Late Start")),MAX(0,Tasks[[#This Row],[Finish Var]])+1-Tasks[[#This Row],[_Row]]/1000000,"")</f>
        <v/>
      </c>
      <c r="EO67" s="41" t="str">
        <f aca="false">IF(AND(Tasks[[#This Row],[_IsLeaf]]=1,N(Tasks[[#This Row],[Actual Start]])=0,Tasks[[#This Row],[_ShownFcstStart]]&gt;=StatusDate,Tasks[[#This Row],[_ShownFcstStart]]&lt;=LookaheadEnd),Tasks[[#This Row],[_ShownFcstStart]]+Tasks[[#This Row],[_Row]]/100000,"")</f>
        <v/>
      </c>
      <c r="EP67" s="41" t="str">
        <f aca="false">IF(AND(Tasks[[#This Row],[_IsLeaf]]=1,Tasks[[#This Row],[_LeafProgress]]&lt;1,Tasks[[#This Row],[_ShownFcstFinish]]&gt;=StatusDate,Tasks[[#This Row],[_ShownFcstFinish]]&lt;=LookaheadEnd),Tasks[[#This Row],[_ShownFcstFinish]]+Tasks[[#This Row],[_Row]]/100000,"")</f>
        <v/>
      </c>
      <c r="EQ67" s="41" t="str">
        <f aca="false">IF(Tasks[[#This Row],[_LeafCritical]],Tasks[[#This Row],[_ShownFcstStart]]+Tasks[[#This Row],[_Row]]/100000,"")</f>
        <v/>
      </c>
      <c r="ER67" s="41" t="n">
        <f aca="false">Tasks[[#This Row],[_LeafWork]]*Tasks[[#This Row],[_LeafProgress]]</f>
        <v>0</v>
      </c>
      <c r="ES67" s="101" t="str">
        <f aca="false">IF(AND(Tasks[[#This Row],[_IsLeaf]]=1,Tasks[[#This Row],[_LeafProgress]]&gt;=1),IF(N(Tasks[[#This Row],[Actual Finish]])&gt;0,Tasks[[#This Row],[Actual Finish]],Tasks[[#This Row],[_ShownFcstFinish]]),"")</f>
        <v/>
      </c>
      <c r="ET67" s="41" t="n">
        <f aca="false">IF(Tasks[[#This Row],[_IsLeaf]]=1,N(Tasks[[#This Row],[Story Points]]),0)</f>
        <v>0</v>
      </c>
      <c r="EU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29"/>
      <c r="O68" s="29"/>
      <c r="P68" s="29"/>
      <c r="Q68" s="29"/>
      <c r="R68" s="29"/>
      <c r="S68" s="29"/>
      <c r="T68" s="30"/>
      <c r="U68" s="75"/>
      <c r="V68" s="75"/>
      <c r="W68" s="25" t="str">
        <f aca="false">IF(Tasks[[#This Row],[Task Name]]="","",IF(N(Tasks[[#This Row],[Baseline Start]])&gt;0,Tasks[[#This Row],[Baseline Start]],Tasks[[#This Row],[_CalcStart]]))</f>
        <v/>
      </c>
      <c r="X68" s="25" t="str">
        <f aca="false">IF(Tasks[[#This Row],[Task Name]]="","",IF(N(Tasks[[#This Row],[Baseline Finish]])&gt;0,Tasks[[#This Row],[Baseline Finish]],Tasks[[#This Row],[_CalcFinish]]))</f>
        <v/>
      </c>
      <c r="Y68" s="75"/>
      <c r="Z68" s="75"/>
      <c r="AA68" s="25" t="str">
        <f aca="false">IF(Tasks[[#This Row],[Task Name]]="","",IF(Tasks[[#This Row],[_IsSummary]],MIN(INDEX(Tasks[_ShownFcstStart],Tasks[[#This Row],[_Row]]+1):INDEX(Tasks[_ShownFcstStart],Tasks[[#This Row],[_Row]]+Tasks[[#This Row],[_Descendants]])),Tasks[[#This Row],[_ShownFcstStart]]))</f>
        <v/>
      </c>
      <c r="AB68" s="25" t="str">
        <f aca="false">IF(Tasks[[#This Row],[Task Name]]="","",IF(Tasks[[#This Row],[_IsSummary]],MAX(INDEX(Tasks[_ShownFcstFinish],Tasks[[#This Row],[_Row]]+1):INDEX(Tasks[_ShownFcstFinish],Tasks[[#This Row],[_Row]]+Tasks[[#This Row],[_Descendants]])),Tasks[[#This Row],[_ShownFcstFinish]]))</f>
        <v/>
      </c>
      <c r="AC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8" s="25" t="str">
        <f aca="false">IF(Tasks[[#This Row],[Task Name]]="","",IF(Tasks[[#This Row],[_IsSummary]],MIN(INDEX(Tasks[_LeafLateStart],Tasks[[#This Row],[_Row]]+1):INDEX(Tasks[_LeafLateStart],Tasks[[#This Row],[_Row]]+Tasks[[#This Row],[_Descendants]])),Tasks[[#This Row],[_LeafLateStart]]))</f>
        <v/>
      </c>
      <c r="AF68" s="25" t="str">
        <f aca="false">IF(Tasks[[#This Row],[Task Name]]="","",IF(Tasks[[#This Row],[_IsSummary]],MAX(INDEX(Tasks[_LeafLateFinish],Tasks[[#This Row],[_Row]]+1):INDEX(Tasks[_LeafLateFinish],Tasks[[#This Row],[_Row]]+Tasks[[#This Row],[_Descendants]])),Tasks[[#This Row],[_LeafLateFinish]]))</f>
        <v/>
      </c>
      <c r="AG68" s="28" t="str">
        <f aca="false">IF(Tasks[[#This Row],[Task Name]]="","",IF(Tasks[[#This Row],[_IsSummary]],MIN(INDEX(Tasks[_LeafTotalSlack],Tasks[[#This Row],[_Row]]+1):INDEX(Tasks[_LeafTotalSlack],Tasks[[#This Row],[_Row]]+Tasks[[#This Row],[_Descendants]])),Tasks[[#This Row],[_LeafTotalSlack]]))</f>
        <v/>
      </c>
      <c r="AH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8" s="28" t="str">
        <f aca="false">IF(Tasks[[#This Row],[Task Name]]="","",IF(IF(Tasks[[#This Row],[_IsSummary]],COUNTIF(INDEX(Tasks[_LeafCritical],Tasks[[#This Row],[_Row]]+1):INDEX(Tasks[_LeafCritical],Tasks[[#This Row],[_Row]]+Tasks[[#This Row],[_Descendants]]),TRUE())&gt;0,Tasks[[#This Row],[_LeafCritical]]),"Yes",""))</f>
        <v/>
      </c>
      <c r="AJ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8" s="89"/>
      <c r="AM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8" s="28" t="str">
        <f aca="false">IF(Tasks[[#This Row],[Task Name]]="","",IF(Tasks[[#This Row],[Progress]]&gt;=1,"Complete",IF(OR(N(Tasks[[#This Row],[Actual Start]])&gt;0,Tasks[[#This Row],[Progress]]&gt;0),IF(Tasks[[#This Row],[Finish Var]]&gt;0,"Behind","In Progress"),IF(Tasks[[#This Row],[Planned Start]]&lt;StatusDate,"Late Start","Not Started"))))</f>
        <v/>
      </c>
      <c r="AO68" s="30"/>
      <c r="AP68" s="89"/>
      <c r="AQ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8" s="96" t="str">
        <f aca="false">IF(Tasks[[#This Row],[Task Name]]="","",IF(Tasks[[#This Row],[_IsSummary]],SUM(INDEX(Tasks[_LeafTotalWork],Tasks[[#This Row],[_Row]]+1):INDEX(Tasks[_LeafTotalWork],Tasks[[#This Row],[_Row]]+Tasks[[#This Row],[_Descendants]])),Tasks[[#This Row],[_LeafTotalWork]]))</f>
        <v/>
      </c>
      <c r="AT68" s="97" t="str">
        <f aca="false">IF(Tasks[[#This Row],[Task Name]]="","",IF(Tasks[[#This Row],[_IsSummary]],SUM(INDEX(Tasks[_LeafTotalCost],Tasks[[#This Row],[_Row]]+1):INDEX(Tasks[_LeafTotalCost],Tasks[[#This Row],[_Row]]+Tasks[[#This Row],[_Descendants]])),Tasks[[#This Row],[_LeafTotalCost]]))</f>
        <v/>
      </c>
      <c r="AU68" s="98"/>
      <c r="AV68" s="29"/>
      <c r="AW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8" s="83"/>
      <c r="AY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8" s="30"/>
      <c r="BA68" s="25" t="str">
        <f aca="false">IF(Tasks[[#This Row],[Task Name]]="","",Tasks[[#This Row],[Forecast Start]])</f>
        <v/>
      </c>
      <c r="BB68" s="25" t="str">
        <f aca="false">IF(Tasks[[#This Row],[Task Name]]="","",Tasks[[#This Row],[Forecast Finish]])</f>
        <v/>
      </c>
      <c r="BC68" s="28" t="str">
        <f aca="false">IF(Tasks[[#This Row],[Task Name]]="","",IF(Tasks[[#This Row],[_IsSummary]],NETWORKDAYS.INTL(Tasks[[#This Row],[Forecast Start]],Tasks[[#This Row],[Forecast Finish]],WorkWeek,Holidays),N(Tasks[[#This Row],[Duration]])))</f>
        <v/>
      </c>
      <c r="BD68" s="96" t="str">
        <f aca="false">IF(Tasks[[#This Row],[Task Name]]="","",Tasks[[#This Row],[Work]])</f>
        <v/>
      </c>
      <c r="BE68" s="97" t="str">
        <f aca="false">IF(Tasks[[#This Row],[Task Name]]="","",Tasks[[#This Row],[Cost]])</f>
        <v/>
      </c>
      <c r="BF68" s="75"/>
      <c r="BG68" s="75"/>
      <c r="BH68" s="29"/>
      <c r="BI68" s="99"/>
      <c r="BJ68" s="98"/>
      <c r="BK68" s="28" t="str">
        <f aca="false">IF(OR(Tasks[[#This Row],[Task Name]]="",Tasks[[#This Row],[Baseline Duration]]=""),"",Tasks[[#This Row],[BL Source Duration]]-N(Tasks[[#This Row],[Baseline Duration]]))</f>
        <v/>
      </c>
      <c r="BL68" s="96" t="str">
        <f aca="false">IF(OR(Tasks[[#This Row],[Task Name]]="",Tasks[[#This Row],[Baseline Work]]=""),"",Tasks[[#This Row],[Work]]-N(Tasks[[#This Row],[Baseline Work]]))</f>
        <v/>
      </c>
      <c r="BM68" s="97" t="str">
        <f aca="false">IF(OR(Tasks[[#This Row],[Task Name]]="",Tasks[[#This Row],[Baseline Cost]]=""),"",Tasks[[#This Row],[Cost]]-N(Tasks[[#This Row],[Baseline Cost]]))</f>
        <v/>
      </c>
      <c r="BN68" s="97" t="str">
        <f aca="false">IF(Tasks[[#This Row],[Task Name]]="","",IF(Tasks[[#This Row],[_IsSummary]],SUM(INDEX(Tasks[_LeafBudget],Tasks[[#This Row],[_Row]]+1):INDEX(Tasks[_LeafBudget],Tasks[[#This Row],[_Row]]+Tasks[[#This Row],[_Descendants]])),Tasks[[#This Row],[_LeafBudget]]))</f>
        <v/>
      </c>
      <c r="BO68" s="97" t="str">
        <f aca="false">IF(Tasks[[#This Row],[Task Name]]="","",IF(Tasks[[#This Row],[_IsSummary]],SUM(INDEX(Tasks[_LeafPV],Tasks[[#This Row],[_Row]]+1):INDEX(Tasks[_LeafPV],Tasks[[#This Row],[_Row]]+Tasks[[#This Row],[_Descendants]])),Tasks[[#This Row],[_LeafPV]]))</f>
        <v/>
      </c>
      <c r="BP68" s="97" t="str">
        <f aca="false">IF(Tasks[[#This Row],[Task Name]]="","",IF(Tasks[[#This Row],[_IsSummary]],SUM(INDEX(Tasks[_LeafEV],Tasks[[#This Row],[_Row]]+1):INDEX(Tasks[_LeafEV],Tasks[[#This Row],[_Row]]+Tasks[[#This Row],[_Descendants]])),Tasks[[#This Row],[_LeafEV]]))</f>
        <v/>
      </c>
      <c r="BQ68" s="97" t="str">
        <f aca="false">IF(Tasks[[#This Row],[Task Name]]="","",IF(Tasks[[#This Row],[_IsSummary]],SUM(INDEX(Tasks[_LeafAC],Tasks[[#This Row],[_Row]]+1):INDEX(Tasks[_LeafAC],Tasks[[#This Row],[_Row]]+Tasks[[#This Row],[_Descendants]])),Tasks[[#This Row],[_LeafAC]]))</f>
        <v/>
      </c>
      <c r="BR68" s="41" t="str">
        <f aca="false">IF(Tasks[[#This Row],[Task Name]]="","",MAX(1,N(Tasks[[#This Row],[Level]])))</f>
        <v/>
      </c>
      <c r="BS68" s="41" t="n">
        <f aca="false">ROW()-ROW(Tasks[[#Headers],[ID]])</f>
        <v>63</v>
      </c>
      <c r="BT68" s="41" t="n">
        <f aca="false">IF(OR(Tasks[[#This Row],[Task Name]]="",Tasks[[#This Row],[_Level]]&lt;=1),0,IFERROR(LOOKUP(2,1/(Tasks[[#Headers],[_Level]]:Tasks[[#This Row],[_Level]]=Tasks[[#This Row],[_Level]]-1),ROW(Tasks[[#Headers],[_Level]]:Tasks[[#This Row],[_Level]])),0))</f>
        <v>0</v>
      </c>
      <c r="BU68" s="41" t="n">
        <f aca="false">IFERROR(N(INDEX(Tasks[_Level],Tasks[[#This Row],[_Row]]+1)),0)</f>
        <v>0</v>
      </c>
      <c r="BV68" s="100" t="b">
        <f aca="false">AND(Tasks[[#This Row],[Task Name]]&lt;&gt;"",Tasks[[#This Row],[_NextLevel]]&gt;Tasks[[#This Row],[_Level]])</f>
        <v>0</v>
      </c>
      <c r="BW68" s="41" t="n">
        <f aca="false">IF(Tasks[[#This Row],[_IsSummary]],COUNTIF(Tasks[WBS],Tasks[[#This Row],[WBS]]&amp;".*"),0)</f>
        <v>0</v>
      </c>
      <c r="BX68" s="41" t="n">
        <f aca="false">IF(AND(Tasks[[#This Row],[Task Name]]&lt;&gt;"",NOT(Tasks[[#This Row],[_IsSummary]])),1,0)</f>
        <v>0</v>
      </c>
      <c r="BY68" s="41" t="n">
        <f aca="false">IF(N(Tasks[[#This Row],[Pred1 UID]])=0,0,IFERROR(MATCH(Tasks[[#This Row],[Pred1 UID]],Tasks[UID],0),-1))</f>
        <v>0</v>
      </c>
      <c r="BZ68" s="41" t="n">
        <f aca="false">IF(N(Tasks[[#This Row],[Pred2 UID]])=0,0,IFERROR(MATCH(Tasks[[#This Row],[Pred2 UID]],Tasks[UID],0),-1))</f>
        <v>0</v>
      </c>
      <c r="CA68" s="41" t="n">
        <f aca="false">IF(N(Tasks[[#This Row],[Pred3 UID]])=0,0,IFERROR(MATCH(Tasks[[#This Row],[Pred3 UID]],Tasks[UID],0),-1))</f>
        <v>0</v>
      </c>
      <c r="CB68" s="41" t="n">
        <f aca="false">IF(N(Tasks[[#This Row],[Pred4 UID]])=0,0,IFERROR(MATCH(Tasks[[#This Row],[Pred4 UID]],Tasks[UID],0),-1))</f>
        <v>0</v>
      </c>
      <c r="CC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8" s="101" t="n">
        <f aca="false">IF(OR(Tasks[[#This Row],[_ConstraintCode]]=2,Tasks[[#This Row],[_ConstraintCode]]=3,Tasks[[#This Row],[_ConstraintCode]]=4,Tasks[[#This Row],[_ConstraintCode]]=6),Tasks[[#This Row],[_ConstraintStart]],0)</f>
        <v>0</v>
      </c>
      <c r="CF68" s="101" t="n">
        <f aca="false">IF(OR(Tasks[[#This Row],[_ConstraintCode]]=2,Tasks[[#This Row],[_ConstraintCode]]=3,Tasks[[#This Row],[_ConstraintCode]]=5,Tasks[[#This Row],[_ConstraintCode]]=7),Tasks[[#This Row],[_ConstraintStart]],2958465)</f>
        <v>2958465</v>
      </c>
      <c r="CG6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8" s="101" t="str">
        <f aca="false">IF(NOT(Tasks[[#This Row],[_IsLeaf]]=1),"",IF(N(Tasks[[#This Row],[Duration]])&lt;=0,Tasks[[#This Row],[_LeafCalcStart]],WORKDAY.INTL(Tasks[[#This Row],[_LeafCalcStart]],Tasks[[#This Row],[Duration]]-1,WorkWeek,Holidays)))</f>
        <v/>
      </c>
      <c r="CI6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8" s="41" t="n">
        <f aca="false">IF(NOT(Tasks[[#This Row],[_IsLeaf]]=1),0,IF(N(Tasks[[#This Row],[Actual Finish]])&gt;0,1,MIN(1,N(Tasks[[#This Row],[% Complete]]))))</f>
        <v>0</v>
      </c>
      <c r="CL68" s="41" t="n">
        <f aca="false">IF(OR(NOT(Tasks[[#This Row],[_IsLeaf]]=1),Tasks[[#This Row],[Resource]]=""),0,N(Tasks[[#This Row],[Duration]])*HoursPerDay*IF(Tasks[[#This Row],[Units]]="",DefaultUnits,Tasks[[#This Row],[Units]]))</f>
        <v>0</v>
      </c>
      <c r="CM68" s="41" t="n">
        <f aca="false">IF(Tasks[[#This Row],[_LeafWork]]=0,0,Tasks[[#This Row],[_LeafWork]]*IFERROR(INDEX(res_Rate,MATCH(Tasks[[#This Row],[Resource]],res_Name,0)),0))</f>
        <v>0</v>
      </c>
      <c r="CN68" s="41" t="n">
        <f aca="false">Tasks[[#This Row],[_LeafWork]]+IF(Tasks[[#This Row],[_IsLeaf]]=1,SUMIFS(asg_Work,asg_TaskUID,Tasks[[#This Row],[UID]],asg_Valid,1),0)</f>
        <v>0</v>
      </c>
      <c r="CO68" s="41" t="n">
        <f aca="false">Tasks[[#This Row],[_LeafCost]]+IF(Tasks[[#This Row],[_IsLeaf]]=1,SUMIFS(asg_Cost,asg_TaskUID,Tasks[[#This Row],[UID]],asg_Valid,1),0)</f>
        <v>0</v>
      </c>
      <c r="CP68" s="41" t="n">
        <f aca="false">IF(Tasks[[#This Row],[_LeafTotalCost]]=0,Tasks[[#This Row],[_LeafAC]],Tasks[[#This Row],[_LeafAC]]*Tasks[[#This Row],[_LeafCost]]/Tasks[[#This Row],[_LeafTotalCost]])</f>
        <v>0</v>
      </c>
      <c r="CQ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8" s="41" t="n">
        <f aca="false">IF(NOT(Tasks[[#This Row],[_IsLeaf]]=1),0,MAX(_xlfn.MAXIFS(Tasks[_Row],Tasks[Pred1 UID],Tasks[[#This Row],[UID]]),_xlfn.MAXIFS(Tasks[_Row],Tasks[Pred2 UID],Tasks[[#This Row],[UID]]),_xlfn.MAXIFS(Tasks[_Row],Tasks[Pred3 UID],Tasks[[#This Row],[UID]]),_xlfn.MAXIFS(Tasks[_Row],Tasks[Pred4 UID],Tasks[[#This Row],[UID]])))</f>
        <v>0</v>
      </c>
      <c r="CZ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8" s="101" t="str">
        <f aca="false">IF(NOT(Tasks[[#This Row],[_IsLeaf]]=1),"",IF(N(Tasks[[#This Row],[Duration]])&lt;=0,Tasks[[#This Row],[_LeafLateFinish]],WORKDAY.INTL(Tasks[[#This Row],[_LeafLateFinish]],-(Tasks[[#This Row],[Duration]]-1),WorkWeek,Holidays)))</f>
        <v/>
      </c>
      <c r="DC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8" s="100" t="b">
        <f aca="false">AND(Tasks[[#This Row],[_IsLeaf]]=1,Tasks[[#This Row],[_LeafProgress]]&lt;1,N(Tasks[[#This Row],[_LeafTotalSlack]])&lt;=CriticalSlackDays)</f>
        <v>0</v>
      </c>
      <c r="DE68" s="41" t="n">
        <f aca="false">IF(AND(Tasks[[#This Row],[_IsLeaf]]=1,Tasks[[#This Row],[_ConstraintCode]]=1,Tasks[[#This Row],[Mode]]&lt;&gt;"Manual",N(Tasks[[#This Row],[Actual Start]])=0),MAX(0,N(Tasks[[#This Row],[Free Slack]])),0)</f>
        <v>0</v>
      </c>
      <c r="DF68" s="101" t="str">
        <f aca="false">IF(NOT(Tasks[[#This Row],[_IsLeaf]]=1),"",IF(Tasks[[#This Row],[_AlapShift]]=0,Tasks[[#This Row],[_LeafCalcStart]],WORKDAY.INTL(Tasks[[#This Row],[_LeafCalcStart]],Tasks[[#This Row],[_AlapShift]],WorkWeek,Holidays)))</f>
        <v/>
      </c>
      <c r="DG68" s="101" t="str">
        <f aca="false">IF(NOT(Tasks[[#This Row],[_IsLeaf]]=1),"",IF(Tasks[[#This Row],[_AlapShift]]=0,Tasks[[#This Row],[_LeafCalcFinish]],WORKDAY.INTL(Tasks[[#This Row],[_LeafCalcFinish]],Tasks[[#This Row],[_AlapShift]],WorkWeek,Holidays)))</f>
        <v/>
      </c>
      <c r="DH68" s="101" t="str">
        <f aca="false">IF(NOT(Tasks[[#This Row],[_IsLeaf]]=1),"",IF(Tasks[[#This Row],[_AlapShift]]=0,Tasks[[#This Row],[_LeafFcstStart]],WORKDAY.INTL(Tasks[[#This Row],[_LeafFcstStart]],Tasks[[#This Row],[_AlapShift]],WorkWeek,Holidays)))</f>
        <v/>
      </c>
      <c r="DI68" s="101" t="str">
        <f aca="false">IF(NOT(Tasks[[#This Row],[_IsLeaf]]=1),"",IF(Tasks[[#This Row],[_AlapShift]]=0,Tasks[[#This Row],[_LeafFcstFinish]],WORKDAY.INTL(Tasks[[#This Row],[_LeafFcstFinish]],Tasks[[#This Row],[_AlapShift]],WorkWeek,Holidays)))</f>
        <v/>
      </c>
      <c r="DJ68" s="101" t="str">
        <f aca="false">IF(Tasks[[#This Row],[Task Name]]="","",IF(Tasks[[#This Row],[_IsSummary]],MIN(INDEX(Tasks[_ShownCalcStart],Tasks[[#This Row],[_Row]]+1):INDEX(Tasks[_ShownCalcStart],Tasks[[#This Row],[_Row]]+Tasks[[#This Row],[_Descendants]])),Tasks[[#This Row],[_ShownCalcStart]]))</f>
        <v/>
      </c>
      <c r="DK68" s="101" t="str">
        <f aca="false">IF(Tasks[[#This Row],[Task Name]]="","",IF(Tasks[[#This Row],[_IsSummary]],MAX(INDEX(Tasks[_ShownCalcFinish],Tasks[[#This Row],[_Row]]+1):INDEX(Tasks[_ShownCalcFinish],Tasks[[#This Row],[_Row]]+Tasks[[#This Row],[_Descendants]])),Tasks[[#This Row],[_ShownCalcFinish]]))</f>
        <v/>
      </c>
      <c r="D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8" s="41" t="n">
        <f aca="false">IF(AND(Tasks[[#This Row],[_IsLeaf]]=1,Tasks[[#This Row],[_LeafTotalWork]]&gt;0),NETWORKDAYS.INTL(ProjectStart,Tasks[[#This Row],[_ShownFcstStart]],WorkWeek,Holidays),0)</f>
        <v>0</v>
      </c>
      <c r="DY68" s="41" t="n">
        <f aca="false">IF(AND(Tasks[[#This Row],[_IsLeaf]]=1,Tasks[[#This Row],[_LeafTotalWork]]&gt;0),MAX(Tasks[[#This Row],[_StartWorkday]],NETWORKDAYS.INTL(ProjectStart,Tasks[[#This Row],[_ShownFcstFinish]],WorkWeek,Holidays)),0)</f>
        <v>0</v>
      </c>
      <c r="DZ68" s="41" t="n">
        <f aca="false">IF(AND(Tasks[[#This Row],[_IsLeaf]]=1,Tasks[[#This Row],[_LeafTotalWork]]&gt;0),Tasks[[#This Row],[_LeafWork]]/(Tasks[[#This Row],[_FinishWorkday]]-Tasks[[#This Row],[_StartWorkday]]+1),0)</f>
        <v>0</v>
      </c>
      <c r="EA68" s="41" t="n">
        <f aca="false">Tasks[[#This Row],[_WorkPerWorkday]]*(Tasks[[#This Row],[_StartWorkday]]-1)</f>
        <v>-0</v>
      </c>
      <c r="EB68" s="41" t="n">
        <f aca="false">IF(Tasks[[#This Row],[_IsLeaf]]=1,MAX(N(Tasks[[#This Row],[Duration]]),0.1),0)</f>
        <v>0</v>
      </c>
      <c r="EC68" s="41" t="n">
        <f aca="false">Tasks[[#This Row],[_WeightDur]]*Tasks[[#This Row],[_LeafProgress]]</f>
        <v>0</v>
      </c>
      <c r="ED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8" s="41" t="str">
        <f aca="false">IF(AND(Tasks[[#This Row],[_IsLeaf]]=1,N(Tasks[[#This Row],[Duration]])=0,Tasks[[#This Row],[_LeafProgress]]&lt;1),Tasks[[#This Row],[_ShownFcstFinish]]+Tasks[[#This Row],[_Row]]/100000,"")</f>
        <v/>
      </c>
      <c r="EF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8" s="41" t="n">
        <f aca="false">IF(NOT(Tasks[[#This Row],[_IsLeaf]]=1),0,IF(Tasks[[#This Row],[Baseline Cost]]="",Tasks[[#This Row],[_LeafTotalCost]],N(Tasks[[#This Row],[Baseline Cost]])))</f>
        <v>0</v>
      </c>
      <c r="EH68" s="41" t="n">
        <f aca="false">Tasks[[#This Row],[_LeafBudget]]*Tasks[[#This Row],[_PlannedPct]]</f>
        <v>0</v>
      </c>
      <c r="EI68" s="41" t="n">
        <f aca="false">Tasks[[#This Row],[_LeafBudget]]*Tasks[[#This Row],[_LeafProgress]]</f>
        <v>0</v>
      </c>
      <c r="EJ68" s="41" t="n">
        <f aca="false">IF(NOT(Tasks[[#This Row],[_IsLeaf]]=1),0,IF(Tasks[[#This Row],[Actual Cost]]="",Tasks[[#This Row],[_LeafTotalCost]]*Tasks[[#This Row],[_LeafProgress]],N(Tasks[[#This Row],[Actual Cost]])))</f>
        <v>0</v>
      </c>
      <c r="EK68" s="41" t="str">
        <f aca="false">IF(Tasks[[#This Row],[Task Name]]="","",LEFT(Tasks[[#This Row],[WBS]],FIND(".",Tasks[[#This Row],[WBS]]&amp;".")-1))</f>
        <v/>
      </c>
      <c r="EL68" s="41" t="str">
        <f aca="false">IF(AND(Tasks[[#This Row],[Task Name]]&lt;&gt;"",Tasks[[#This Row],[_Level]]=1),Tasks[[#This Row],[_Row]],"")</f>
        <v/>
      </c>
      <c r="EM68" s="41" t="str">
        <f aca="false">IF(AND(Tasks[[#This Row],[_IsLeaf]]=1,N(Tasks[[#This Row],[Duration]])=0),Tasks[[#This Row],[Planned Finish]]+Tasks[[#This Row],[_Row]]/100000,"")</f>
        <v/>
      </c>
      <c r="EN68" s="41" t="str">
        <f aca="false">IF(AND(Tasks[[#This Row],[_IsLeaf]]=1,Tasks[[#This Row],[_LeafProgress]]&lt;1,OR(N(Tasks[[#This Row],[Finish Var]])&gt;0,Tasks[[#This Row],[Status]]="Late Start")),MAX(0,Tasks[[#This Row],[Finish Var]])+1-Tasks[[#This Row],[_Row]]/1000000,"")</f>
        <v/>
      </c>
      <c r="EO68" s="41" t="str">
        <f aca="false">IF(AND(Tasks[[#This Row],[_IsLeaf]]=1,N(Tasks[[#This Row],[Actual Start]])=0,Tasks[[#This Row],[_ShownFcstStart]]&gt;=StatusDate,Tasks[[#This Row],[_ShownFcstStart]]&lt;=LookaheadEnd),Tasks[[#This Row],[_ShownFcstStart]]+Tasks[[#This Row],[_Row]]/100000,"")</f>
        <v/>
      </c>
      <c r="EP68" s="41" t="str">
        <f aca="false">IF(AND(Tasks[[#This Row],[_IsLeaf]]=1,Tasks[[#This Row],[_LeafProgress]]&lt;1,Tasks[[#This Row],[_ShownFcstFinish]]&gt;=StatusDate,Tasks[[#This Row],[_ShownFcstFinish]]&lt;=LookaheadEnd),Tasks[[#This Row],[_ShownFcstFinish]]+Tasks[[#This Row],[_Row]]/100000,"")</f>
        <v/>
      </c>
      <c r="EQ68" s="41" t="str">
        <f aca="false">IF(Tasks[[#This Row],[_LeafCritical]],Tasks[[#This Row],[_ShownFcstStart]]+Tasks[[#This Row],[_Row]]/100000,"")</f>
        <v/>
      </c>
      <c r="ER68" s="41" t="n">
        <f aca="false">Tasks[[#This Row],[_LeafWork]]*Tasks[[#This Row],[_LeafProgress]]</f>
        <v>0</v>
      </c>
      <c r="ES68" s="101" t="str">
        <f aca="false">IF(AND(Tasks[[#This Row],[_IsLeaf]]=1,Tasks[[#This Row],[_LeafProgress]]&gt;=1),IF(N(Tasks[[#This Row],[Actual Finish]])&gt;0,Tasks[[#This Row],[Actual Finish]],Tasks[[#This Row],[_ShownFcstFinish]]),"")</f>
        <v/>
      </c>
      <c r="ET68" s="41" t="n">
        <f aca="false">IF(Tasks[[#This Row],[_IsLeaf]]=1,N(Tasks[[#This Row],[Story Points]]),0)</f>
        <v>0</v>
      </c>
      <c r="EU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29"/>
      <c r="O69" s="29"/>
      <c r="P69" s="29"/>
      <c r="Q69" s="29"/>
      <c r="R69" s="29"/>
      <c r="S69" s="29"/>
      <c r="T69" s="30"/>
      <c r="U69" s="75"/>
      <c r="V69" s="75"/>
      <c r="W69" s="25" t="str">
        <f aca="false">IF(Tasks[[#This Row],[Task Name]]="","",IF(N(Tasks[[#This Row],[Baseline Start]])&gt;0,Tasks[[#This Row],[Baseline Start]],Tasks[[#This Row],[_CalcStart]]))</f>
        <v/>
      </c>
      <c r="X69" s="25" t="str">
        <f aca="false">IF(Tasks[[#This Row],[Task Name]]="","",IF(N(Tasks[[#This Row],[Baseline Finish]])&gt;0,Tasks[[#This Row],[Baseline Finish]],Tasks[[#This Row],[_CalcFinish]]))</f>
        <v/>
      </c>
      <c r="Y69" s="75"/>
      <c r="Z69" s="75"/>
      <c r="AA69" s="25" t="str">
        <f aca="false">IF(Tasks[[#This Row],[Task Name]]="","",IF(Tasks[[#This Row],[_IsSummary]],MIN(INDEX(Tasks[_ShownFcstStart],Tasks[[#This Row],[_Row]]+1):INDEX(Tasks[_ShownFcstStart],Tasks[[#This Row],[_Row]]+Tasks[[#This Row],[_Descendants]])),Tasks[[#This Row],[_ShownFcstStart]]))</f>
        <v/>
      </c>
      <c r="AB69" s="25" t="str">
        <f aca="false">IF(Tasks[[#This Row],[Task Name]]="","",IF(Tasks[[#This Row],[_IsSummary]],MAX(INDEX(Tasks[_ShownFcstFinish],Tasks[[#This Row],[_Row]]+1):INDEX(Tasks[_ShownFcstFinish],Tasks[[#This Row],[_Row]]+Tasks[[#This Row],[_Descendants]])),Tasks[[#This Row],[_ShownFcstFinish]]))</f>
        <v/>
      </c>
      <c r="AC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9" s="25" t="str">
        <f aca="false">IF(Tasks[[#This Row],[Task Name]]="","",IF(Tasks[[#This Row],[_IsSummary]],MIN(INDEX(Tasks[_LeafLateStart],Tasks[[#This Row],[_Row]]+1):INDEX(Tasks[_LeafLateStart],Tasks[[#This Row],[_Row]]+Tasks[[#This Row],[_Descendants]])),Tasks[[#This Row],[_LeafLateStart]]))</f>
        <v/>
      </c>
      <c r="AF69" s="25" t="str">
        <f aca="false">IF(Tasks[[#This Row],[Task Name]]="","",IF(Tasks[[#This Row],[_IsSummary]],MAX(INDEX(Tasks[_LeafLateFinish],Tasks[[#This Row],[_Row]]+1):INDEX(Tasks[_LeafLateFinish],Tasks[[#This Row],[_Row]]+Tasks[[#This Row],[_Descendants]])),Tasks[[#This Row],[_LeafLateFinish]]))</f>
        <v/>
      </c>
      <c r="AG69" s="28" t="str">
        <f aca="false">IF(Tasks[[#This Row],[Task Name]]="","",IF(Tasks[[#This Row],[_IsSummary]],MIN(INDEX(Tasks[_LeafTotalSlack],Tasks[[#This Row],[_Row]]+1):INDEX(Tasks[_LeafTotalSlack],Tasks[[#This Row],[_Row]]+Tasks[[#This Row],[_Descendants]])),Tasks[[#This Row],[_LeafTotalSlack]]))</f>
        <v/>
      </c>
      <c r="AH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9" s="28" t="str">
        <f aca="false">IF(Tasks[[#This Row],[Task Name]]="","",IF(IF(Tasks[[#This Row],[_IsSummary]],COUNTIF(INDEX(Tasks[_LeafCritical],Tasks[[#This Row],[_Row]]+1):INDEX(Tasks[_LeafCritical],Tasks[[#This Row],[_Row]]+Tasks[[#This Row],[_Descendants]]),TRUE())&gt;0,Tasks[[#This Row],[_LeafCritical]]),"Yes",""))</f>
        <v/>
      </c>
      <c r="AJ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9" s="89"/>
      <c r="AM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9" s="28" t="str">
        <f aca="false">IF(Tasks[[#This Row],[Task Name]]="","",IF(Tasks[[#This Row],[Progress]]&gt;=1,"Complete",IF(OR(N(Tasks[[#This Row],[Actual Start]])&gt;0,Tasks[[#This Row],[Progress]]&gt;0),IF(Tasks[[#This Row],[Finish Var]]&gt;0,"Behind","In Progress"),IF(Tasks[[#This Row],[Planned Start]]&lt;StatusDate,"Late Start","Not Started"))))</f>
        <v/>
      </c>
      <c r="AO69" s="30"/>
      <c r="AP69" s="89"/>
      <c r="AQ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9" s="96" t="str">
        <f aca="false">IF(Tasks[[#This Row],[Task Name]]="","",IF(Tasks[[#This Row],[_IsSummary]],SUM(INDEX(Tasks[_LeafTotalWork],Tasks[[#This Row],[_Row]]+1):INDEX(Tasks[_LeafTotalWork],Tasks[[#This Row],[_Row]]+Tasks[[#This Row],[_Descendants]])),Tasks[[#This Row],[_LeafTotalWork]]))</f>
        <v/>
      </c>
      <c r="AT69" s="97" t="str">
        <f aca="false">IF(Tasks[[#This Row],[Task Name]]="","",IF(Tasks[[#This Row],[_IsSummary]],SUM(INDEX(Tasks[_LeafTotalCost],Tasks[[#This Row],[_Row]]+1):INDEX(Tasks[_LeafTotalCost],Tasks[[#This Row],[_Row]]+Tasks[[#This Row],[_Descendants]])),Tasks[[#This Row],[_LeafTotalCost]]))</f>
        <v/>
      </c>
      <c r="AU69" s="98"/>
      <c r="AV69" s="29"/>
      <c r="AW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9" s="83"/>
      <c r="AY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9" s="30"/>
      <c r="BA69" s="25" t="str">
        <f aca="false">IF(Tasks[[#This Row],[Task Name]]="","",Tasks[[#This Row],[Forecast Start]])</f>
        <v/>
      </c>
      <c r="BB69" s="25" t="str">
        <f aca="false">IF(Tasks[[#This Row],[Task Name]]="","",Tasks[[#This Row],[Forecast Finish]])</f>
        <v/>
      </c>
      <c r="BC69" s="28" t="str">
        <f aca="false">IF(Tasks[[#This Row],[Task Name]]="","",IF(Tasks[[#This Row],[_IsSummary]],NETWORKDAYS.INTL(Tasks[[#This Row],[Forecast Start]],Tasks[[#This Row],[Forecast Finish]],WorkWeek,Holidays),N(Tasks[[#This Row],[Duration]])))</f>
        <v/>
      </c>
      <c r="BD69" s="96" t="str">
        <f aca="false">IF(Tasks[[#This Row],[Task Name]]="","",Tasks[[#This Row],[Work]])</f>
        <v/>
      </c>
      <c r="BE69" s="97" t="str">
        <f aca="false">IF(Tasks[[#This Row],[Task Name]]="","",Tasks[[#This Row],[Cost]])</f>
        <v/>
      </c>
      <c r="BF69" s="75"/>
      <c r="BG69" s="75"/>
      <c r="BH69" s="29"/>
      <c r="BI69" s="99"/>
      <c r="BJ69" s="98"/>
      <c r="BK69" s="28" t="str">
        <f aca="false">IF(OR(Tasks[[#This Row],[Task Name]]="",Tasks[[#This Row],[Baseline Duration]]=""),"",Tasks[[#This Row],[BL Source Duration]]-N(Tasks[[#This Row],[Baseline Duration]]))</f>
        <v/>
      </c>
      <c r="BL69" s="96" t="str">
        <f aca="false">IF(OR(Tasks[[#This Row],[Task Name]]="",Tasks[[#This Row],[Baseline Work]]=""),"",Tasks[[#This Row],[Work]]-N(Tasks[[#This Row],[Baseline Work]]))</f>
        <v/>
      </c>
      <c r="BM69" s="97" t="str">
        <f aca="false">IF(OR(Tasks[[#This Row],[Task Name]]="",Tasks[[#This Row],[Baseline Cost]]=""),"",Tasks[[#This Row],[Cost]]-N(Tasks[[#This Row],[Baseline Cost]]))</f>
        <v/>
      </c>
      <c r="BN69" s="97" t="str">
        <f aca="false">IF(Tasks[[#This Row],[Task Name]]="","",IF(Tasks[[#This Row],[_IsSummary]],SUM(INDEX(Tasks[_LeafBudget],Tasks[[#This Row],[_Row]]+1):INDEX(Tasks[_LeafBudget],Tasks[[#This Row],[_Row]]+Tasks[[#This Row],[_Descendants]])),Tasks[[#This Row],[_LeafBudget]]))</f>
        <v/>
      </c>
      <c r="BO69" s="97" t="str">
        <f aca="false">IF(Tasks[[#This Row],[Task Name]]="","",IF(Tasks[[#This Row],[_IsSummary]],SUM(INDEX(Tasks[_LeafPV],Tasks[[#This Row],[_Row]]+1):INDEX(Tasks[_LeafPV],Tasks[[#This Row],[_Row]]+Tasks[[#This Row],[_Descendants]])),Tasks[[#This Row],[_LeafPV]]))</f>
        <v/>
      </c>
      <c r="BP69" s="97" t="str">
        <f aca="false">IF(Tasks[[#This Row],[Task Name]]="","",IF(Tasks[[#This Row],[_IsSummary]],SUM(INDEX(Tasks[_LeafEV],Tasks[[#This Row],[_Row]]+1):INDEX(Tasks[_LeafEV],Tasks[[#This Row],[_Row]]+Tasks[[#This Row],[_Descendants]])),Tasks[[#This Row],[_LeafEV]]))</f>
        <v/>
      </c>
      <c r="BQ69" s="97" t="str">
        <f aca="false">IF(Tasks[[#This Row],[Task Name]]="","",IF(Tasks[[#This Row],[_IsSummary]],SUM(INDEX(Tasks[_LeafAC],Tasks[[#This Row],[_Row]]+1):INDEX(Tasks[_LeafAC],Tasks[[#This Row],[_Row]]+Tasks[[#This Row],[_Descendants]])),Tasks[[#This Row],[_LeafAC]]))</f>
        <v/>
      </c>
      <c r="BR69" s="41" t="str">
        <f aca="false">IF(Tasks[[#This Row],[Task Name]]="","",MAX(1,N(Tasks[[#This Row],[Level]])))</f>
        <v/>
      </c>
      <c r="BS69" s="41" t="n">
        <f aca="false">ROW()-ROW(Tasks[[#Headers],[ID]])</f>
        <v>64</v>
      </c>
      <c r="BT69" s="41" t="n">
        <f aca="false">IF(OR(Tasks[[#This Row],[Task Name]]="",Tasks[[#This Row],[_Level]]&lt;=1),0,IFERROR(LOOKUP(2,1/(Tasks[[#Headers],[_Level]]:Tasks[[#This Row],[_Level]]=Tasks[[#This Row],[_Level]]-1),ROW(Tasks[[#Headers],[_Level]]:Tasks[[#This Row],[_Level]])),0))</f>
        <v>0</v>
      </c>
      <c r="BU69" s="41" t="n">
        <f aca="false">IFERROR(N(INDEX(Tasks[_Level],Tasks[[#This Row],[_Row]]+1)),0)</f>
        <v>0</v>
      </c>
      <c r="BV69" s="100" t="b">
        <f aca="false">AND(Tasks[[#This Row],[Task Name]]&lt;&gt;"",Tasks[[#This Row],[_NextLevel]]&gt;Tasks[[#This Row],[_Level]])</f>
        <v>0</v>
      </c>
      <c r="BW69" s="41" t="n">
        <f aca="false">IF(Tasks[[#This Row],[_IsSummary]],COUNTIF(Tasks[WBS],Tasks[[#This Row],[WBS]]&amp;".*"),0)</f>
        <v>0</v>
      </c>
      <c r="BX69" s="41" t="n">
        <f aca="false">IF(AND(Tasks[[#This Row],[Task Name]]&lt;&gt;"",NOT(Tasks[[#This Row],[_IsSummary]])),1,0)</f>
        <v>0</v>
      </c>
      <c r="BY69" s="41" t="n">
        <f aca="false">IF(N(Tasks[[#This Row],[Pred1 UID]])=0,0,IFERROR(MATCH(Tasks[[#This Row],[Pred1 UID]],Tasks[UID],0),-1))</f>
        <v>0</v>
      </c>
      <c r="BZ69" s="41" t="n">
        <f aca="false">IF(N(Tasks[[#This Row],[Pred2 UID]])=0,0,IFERROR(MATCH(Tasks[[#This Row],[Pred2 UID]],Tasks[UID],0),-1))</f>
        <v>0</v>
      </c>
      <c r="CA69" s="41" t="n">
        <f aca="false">IF(N(Tasks[[#This Row],[Pred3 UID]])=0,0,IFERROR(MATCH(Tasks[[#This Row],[Pred3 UID]],Tasks[UID],0),-1))</f>
        <v>0</v>
      </c>
      <c r="CB69" s="41" t="n">
        <f aca="false">IF(N(Tasks[[#This Row],[Pred4 UID]])=0,0,IFERROR(MATCH(Tasks[[#This Row],[Pred4 UID]],Tasks[UID],0),-1))</f>
        <v>0</v>
      </c>
      <c r="CC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9" s="101" t="n">
        <f aca="false">IF(OR(Tasks[[#This Row],[_ConstraintCode]]=2,Tasks[[#This Row],[_ConstraintCode]]=3,Tasks[[#This Row],[_ConstraintCode]]=4,Tasks[[#This Row],[_ConstraintCode]]=6),Tasks[[#This Row],[_ConstraintStart]],0)</f>
        <v>0</v>
      </c>
      <c r="CF69" s="101" t="n">
        <f aca="false">IF(OR(Tasks[[#This Row],[_ConstraintCode]]=2,Tasks[[#This Row],[_ConstraintCode]]=3,Tasks[[#This Row],[_ConstraintCode]]=5,Tasks[[#This Row],[_ConstraintCode]]=7),Tasks[[#This Row],[_ConstraintStart]],2958465)</f>
        <v>2958465</v>
      </c>
      <c r="CG6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9" s="101" t="str">
        <f aca="false">IF(NOT(Tasks[[#This Row],[_IsLeaf]]=1),"",IF(N(Tasks[[#This Row],[Duration]])&lt;=0,Tasks[[#This Row],[_LeafCalcStart]],WORKDAY.INTL(Tasks[[#This Row],[_LeafCalcStart]],Tasks[[#This Row],[Duration]]-1,WorkWeek,Holidays)))</f>
        <v/>
      </c>
      <c r="CI6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9" s="41" t="n">
        <f aca="false">IF(NOT(Tasks[[#This Row],[_IsLeaf]]=1),0,IF(N(Tasks[[#This Row],[Actual Finish]])&gt;0,1,MIN(1,N(Tasks[[#This Row],[% Complete]]))))</f>
        <v>0</v>
      </c>
      <c r="CL69" s="41" t="n">
        <f aca="false">IF(OR(NOT(Tasks[[#This Row],[_IsLeaf]]=1),Tasks[[#This Row],[Resource]]=""),0,N(Tasks[[#This Row],[Duration]])*HoursPerDay*IF(Tasks[[#This Row],[Units]]="",DefaultUnits,Tasks[[#This Row],[Units]]))</f>
        <v>0</v>
      </c>
      <c r="CM69" s="41" t="n">
        <f aca="false">IF(Tasks[[#This Row],[_LeafWork]]=0,0,Tasks[[#This Row],[_LeafWork]]*IFERROR(INDEX(res_Rate,MATCH(Tasks[[#This Row],[Resource]],res_Name,0)),0))</f>
        <v>0</v>
      </c>
      <c r="CN69" s="41" t="n">
        <f aca="false">Tasks[[#This Row],[_LeafWork]]+IF(Tasks[[#This Row],[_IsLeaf]]=1,SUMIFS(asg_Work,asg_TaskUID,Tasks[[#This Row],[UID]],asg_Valid,1),0)</f>
        <v>0</v>
      </c>
      <c r="CO69" s="41" t="n">
        <f aca="false">Tasks[[#This Row],[_LeafCost]]+IF(Tasks[[#This Row],[_IsLeaf]]=1,SUMIFS(asg_Cost,asg_TaskUID,Tasks[[#This Row],[UID]],asg_Valid,1),0)</f>
        <v>0</v>
      </c>
      <c r="CP69" s="41" t="n">
        <f aca="false">IF(Tasks[[#This Row],[_LeafTotalCost]]=0,Tasks[[#This Row],[_LeafAC]],Tasks[[#This Row],[_LeafAC]]*Tasks[[#This Row],[_LeafCost]]/Tasks[[#This Row],[_LeafTotalCost]])</f>
        <v>0</v>
      </c>
      <c r="CQ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9" s="41" t="n">
        <f aca="false">IF(NOT(Tasks[[#This Row],[_IsLeaf]]=1),0,MAX(_xlfn.MAXIFS(Tasks[_Row],Tasks[Pred1 UID],Tasks[[#This Row],[UID]]),_xlfn.MAXIFS(Tasks[_Row],Tasks[Pred2 UID],Tasks[[#This Row],[UID]]),_xlfn.MAXIFS(Tasks[_Row],Tasks[Pred3 UID],Tasks[[#This Row],[UID]]),_xlfn.MAXIFS(Tasks[_Row],Tasks[Pred4 UID],Tasks[[#This Row],[UID]])))</f>
        <v>0</v>
      </c>
      <c r="CZ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9" s="101" t="str">
        <f aca="false">IF(NOT(Tasks[[#This Row],[_IsLeaf]]=1),"",IF(N(Tasks[[#This Row],[Duration]])&lt;=0,Tasks[[#This Row],[_LeafLateFinish]],WORKDAY.INTL(Tasks[[#This Row],[_LeafLateFinish]],-(Tasks[[#This Row],[Duration]]-1),WorkWeek,Holidays)))</f>
        <v/>
      </c>
      <c r="DC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9" s="100" t="b">
        <f aca="false">AND(Tasks[[#This Row],[_IsLeaf]]=1,Tasks[[#This Row],[_LeafProgress]]&lt;1,N(Tasks[[#This Row],[_LeafTotalSlack]])&lt;=CriticalSlackDays)</f>
        <v>0</v>
      </c>
      <c r="DE69" s="41" t="n">
        <f aca="false">IF(AND(Tasks[[#This Row],[_IsLeaf]]=1,Tasks[[#This Row],[_ConstraintCode]]=1,Tasks[[#This Row],[Mode]]&lt;&gt;"Manual",N(Tasks[[#This Row],[Actual Start]])=0),MAX(0,N(Tasks[[#This Row],[Free Slack]])),0)</f>
        <v>0</v>
      </c>
      <c r="DF69" s="101" t="str">
        <f aca="false">IF(NOT(Tasks[[#This Row],[_IsLeaf]]=1),"",IF(Tasks[[#This Row],[_AlapShift]]=0,Tasks[[#This Row],[_LeafCalcStart]],WORKDAY.INTL(Tasks[[#This Row],[_LeafCalcStart]],Tasks[[#This Row],[_AlapShift]],WorkWeek,Holidays)))</f>
        <v/>
      </c>
      <c r="DG69" s="101" t="str">
        <f aca="false">IF(NOT(Tasks[[#This Row],[_IsLeaf]]=1),"",IF(Tasks[[#This Row],[_AlapShift]]=0,Tasks[[#This Row],[_LeafCalcFinish]],WORKDAY.INTL(Tasks[[#This Row],[_LeafCalcFinish]],Tasks[[#This Row],[_AlapShift]],WorkWeek,Holidays)))</f>
        <v/>
      </c>
      <c r="DH69" s="101" t="str">
        <f aca="false">IF(NOT(Tasks[[#This Row],[_IsLeaf]]=1),"",IF(Tasks[[#This Row],[_AlapShift]]=0,Tasks[[#This Row],[_LeafFcstStart]],WORKDAY.INTL(Tasks[[#This Row],[_LeafFcstStart]],Tasks[[#This Row],[_AlapShift]],WorkWeek,Holidays)))</f>
        <v/>
      </c>
      <c r="DI69" s="101" t="str">
        <f aca="false">IF(NOT(Tasks[[#This Row],[_IsLeaf]]=1),"",IF(Tasks[[#This Row],[_AlapShift]]=0,Tasks[[#This Row],[_LeafFcstFinish]],WORKDAY.INTL(Tasks[[#This Row],[_LeafFcstFinish]],Tasks[[#This Row],[_AlapShift]],WorkWeek,Holidays)))</f>
        <v/>
      </c>
      <c r="DJ69" s="101" t="str">
        <f aca="false">IF(Tasks[[#This Row],[Task Name]]="","",IF(Tasks[[#This Row],[_IsSummary]],MIN(INDEX(Tasks[_ShownCalcStart],Tasks[[#This Row],[_Row]]+1):INDEX(Tasks[_ShownCalcStart],Tasks[[#This Row],[_Row]]+Tasks[[#This Row],[_Descendants]])),Tasks[[#This Row],[_ShownCalcStart]]))</f>
        <v/>
      </c>
      <c r="DK69" s="101" t="str">
        <f aca="false">IF(Tasks[[#This Row],[Task Name]]="","",IF(Tasks[[#This Row],[_IsSummary]],MAX(INDEX(Tasks[_ShownCalcFinish],Tasks[[#This Row],[_Row]]+1):INDEX(Tasks[_ShownCalcFinish],Tasks[[#This Row],[_Row]]+Tasks[[#This Row],[_Descendants]])),Tasks[[#This Row],[_ShownCalcFinish]]))</f>
        <v/>
      </c>
      <c r="D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9" s="41" t="n">
        <f aca="false">IF(AND(Tasks[[#This Row],[_IsLeaf]]=1,Tasks[[#This Row],[_LeafTotalWork]]&gt;0),NETWORKDAYS.INTL(ProjectStart,Tasks[[#This Row],[_ShownFcstStart]],WorkWeek,Holidays),0)</f>
        <v>0</v>
      </c>
      <c r="DY69" s="41" t="n">
        <f aca="false">IF(AND(Tasks[[#This Row],[_IsLeaf]]=1,Tasks[[#This Row],[_LeafTotalWork]]&gt;0),MAX(Tasks[[#This Row],[_StartWorkday]],NETWORKDAYS.INTL(ProjectStart,Tasks[[#This Row],[_ShownFcstFinish]],WorkWeek,Holidays)),0)</f>
        <v>0</v>
      </c>
      <c r="DZ69" s="41" t="n">
        <f aca="false">IF(AND(Tasks[[#This Row],[_IsLeaf]]=1,Tasks[[#This Row],[_LeafTotalWork]]&gt;0),Tasks[[#This Row],[_LeafWork]]/(Tasks[[#This Row],[_FinishWorkday]]-Tasks[[#This Row],[_StartWorkday]]+1),0)</f>
        <v>0</v>
      </c>
      <c r="EA69" s="41" t="n">
        <f aca="false">Tasks[[#This Row],[_WorkPerWorkday]]*(Tasks[[#This Row],[_StartWorkday]]-1)</f>
        <v>-0</v>
      </c>
      <c r="EB69" s="41" t="n">
        <f aca="false">IF(Tasks[[#This Row],[_IsLeaf]]=1,MAX(N(Tasks[[#This Row],[Duration]]),0.1),0)</f>
        <v>0</v>
      </c>
      <c r="EC69" s="41" t="n">
        <f aca="false">Tasks[[#This Row],[_WeightDur]]*Tasks[[#This Row],[_LeafProgress]]</f>
        <v>0</v>
      </c>
      <c r="ED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9" s="41" t="str">
        <f aca="false">IF(AND(Tasks[[#This Row],[_IsLeaf]]=1,N(Tasks[[#This Row],[Duration]])=0,Tasks[[#This Row],[_LeafProgress]]&lt;1),Tasks[[#This Row],[_ShownFcstFinish]]+Tasks[[#This Row],[_Row]]/100000,"")</f>
        <v/>
      </c>
      <c r="EF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9" s="41" t="n">
        <f aca="false">IF(NOT(Tasks[[#This Row],[_IsLeaf]]=1),0,IF(Tasks[[#This Row],[Baseline Cost]]="",Tasks[[#This Row],[_LeafTotalCost]],N(Tasks[[#This Row],[Baseline Cost]])))</f>
        <v>0</v>
      </c>
      <c r="EH69" s="41" t="n">
        <f aca="false">Tasks[[#This Row],[_LeafBudget]]*Tasks[[#This Row],[_PlannedPct]]</f>
        <v>0</v>
      </c>
      <c r="EI69" s="41" t="n">
        <f aca="false">Tasks[[#This Row],[_LeafBudget]]*Tasks[[#This Row],[_LeafProgress]]</f>
        <v>0</v>
      </c>
      <c r="EJ69" s="41" t="n">
        <f aca="false">IF(NOT(Tasks[[#This Row],[_IsLeaf]]=1),0,IF(Tasks[[#This Row],[Actual Cost]]="",Tasks[[#This Row],[_LeafTotalCost]]*Tasks[[#This Row],[_LeafProgress]],N(Tasks[[#This Row],[Actual Cost]])))</f>
        <v>0</v>
      </c>
      <c r="EK69" s="41" t="str">
        <f aca="false">IF(Tasks[[#This Row],[Task Name]]="","",LEFT(Tasks[[#This Row],[WBS]],FIND(".",Tasks[[#This Row],[WBS]]&amp;".")-1))</f>
        <v/>
      </c>
      <c r="EL69" s="41" t="str">
        <f aca="false">IF(AND(Tasks[[#This Row],[Task Name]]&lt;&gt;"",Tasks[[#This Row],[_Level]]=1),Tasks[[#This Row],[_Row]],"")</f>
        <v/>
      </c>
      <c r="EM69" s="41" t="str">
        <f aca="false">IF(AND(Tasks[[#This Row],[_IsLeaf]]=1,N(Tasks[[#This Row],[Duration]])=0),Tasks[[#This Row],[Planned Finish]]+Tasks[[#This Row],[_Row]]/100000,"")</f>
        <v/>
      </c>
      <c r="EN69" s="41" t="str">
        <f aca="false">IF(AND(Tasks[[#This Row],[_IsLeaf]]=1,Tasks[[#This Row],[_LeafProgress]]&lt;1,OR(N(Tasks[[#This Row],[Finish Var]])&gt;0,Tasks[[#This Row],[Status]]="Late Start")),MAX(0,Tasks[[#This Row],[Finish Var]])+1-Tasks[[#This Row],[_Row]]/1000000,"")</f>
        <v/>
      </c>
      <c r="EO69" s="41" t="str">
        <f aca="false">IF(AND(Tasks[[#This Row],[_IsLeaf]]=1,N(Tasks[[#This Row],[Actual Start]])=0,Tasks[[#This Row],[_ShownFcstStart]]&gt;=StatusDate,Tasks[[#This Row],[_ShownFcstStart]]&lt;=LookaheadEnd),Tasks[[#This Row],[_ShownFcstStart]]+Tasks[[#This Row],[_Row]]/100000,"")</f>
        <v/>
      </c>
      <c r="EP69" s="41" t="str">
        <f aca="false">IF(AND(Tasks[[#This Row],[_IsLeaf]]=1,Tasks[[#This Row],[_LeafProgress]]&lt;1,Tasks[[#This Row],[_ShownFcstFinish]]&gt;=StatusDate,Tasks[[#This Row],[_ShownFcstFinish]]&lt;=LookaheadEnd),Tasks[[#This Row],[_ShownFcstFinish]]+Tasks[[#This Row],[_Row]]/100000,"")</f>
        <v/>
      </c>
      <c r="EQ69" s="41" t="str">
        <f aca="false">IF(Tasks[[#This Row],[_LeafCritical]],Tasks[[#This Row],[_ShownFcstStart]]+Tasks[[#This Row],[_Row]]/100000,"")</f>
        <v/>
      </c>
      <c r="ER69" s="41" t="n">
        <f aca="false">Tasks[[#This Row],[_LeafWork]]*Tasks[[#This Row],[_LeafProgress]]</f>
        <v>0</v>
      </c>
      <c r="ES69" s="101" t="str">
        <f aca="false">IF(AND(Tasks[[#This Row],[_IsLeaf]]=1,Tasks[[#This Row],[_LeafProgress]]&gt;=1),IF(N(Tasks[[#This Row],[Actual Finish]])&gt;0,Tasks[[#This Row],[Actual Finish]],Tasks[[#This Row],[_ShownFcstFinish]]),"")</f>
        <v/>
      </c>
      <c r="ET69" s="41" t="n">
        <f aca="false">IF(Tasks[[#This Row],[_IsLeaf]]=1,N(Tasks[[#This Row],[Story Points]]),0)</f>
        <v>0</v>
      </c>
      <c r="EU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29"/>
      <c r="O70" s="29"/>
      <c r="P70" s="29"/>
      <c r="Q70" s="29"/>
      <c r="R70" s="29"/>
      <c r="S70" s="29"/>
      <c r="T70" s="30"/>
      <c r="U70" s="75"/>
      <c r="V70" s="75"/>
      <c r="W70" s="25" t="str">
        <f aca="false">IF(Tasks[[#This Row],[Task Name]]="","",IF(N(Tasks[[#This Row],[Baseline Start]])&gt;0,Tasks[[#This Row],[Baseline Start]],Tasks[[#This Row],[_CalcStart]]))</f>
        <v/>
      </c>
      <c r="X70" s="25" t="str">
        <f aca="false">IF(Tasks[[#This Row],[Task Name]]="","",IF(N(Tasks[[#This Row],[Baseline Finish]])&gt;0,Tasks[[#This Row],[Baseline Finish]],Tasks[[#This Row],[_CalcFinish]]))</f>
        <v/>
      </c>
      <c r="Y70" s="75"/>
      <c r="Z70" s="75"/>
      <c r="AA70" s="25" t="str">
        <f aca="false">IF(Tasks[[#This Row],[Task Name]]="","",IF(Tasks[[#This Row],[_IsSummary]],MIN(INDEX(Tasks[_ShownFcstStart],Tasks[[#This Row],[_Row]]+1):INDEX(Tasks[_ShownFcstStart],Tasks[[#This Row],[_Row]]+Tasks[[#This Row],[_Descendants]])),Tasks[[#This Row],[_ShownFcstStart]]))</f>
        <v/>
      </c>
      <c r="AB70" s="25" t="str">
        <f aca="false">IF(Tasks[[#This Row],[Task Name]]="","",IF(Tasks[[#This Row],[_IsSummary]],MAX(INDEX(Tasks[_ShownFcstFinish],Tasks[[#This Row],[_Row]]+1):INDEX(Tasks[_ShownFcstFinish],Tasks[[#This Row],[_Row]]+Tasks[[#This Row],[_Descendants]])),Tasks[[#This Row],[_ShownFcstFinish]]))</f>
        <v/>
      </c>
      <c r="AC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0" s="25" t="str">
        <f aca="false">IF(Tasks[[#This Row],[Task Name]]="","",IF(Tasks[[#This Row],[_IsSummary]],MIN(INDEX(Tasks[_LeafLateStart],Tasks[[#This Row],[_Row]]+1):INDEX(Tasks[_LeafLateStart],Tasks[[#This Row],[_Row]]+Tasks[[#This Row],[_Descendants]])),Tasks[[#This Row],[_LeafLateStart]]))</f>
        <v/>
      </c>
      <c r="AF70" s="25" t="str">
        <f aca="false">IF(Tasks[[#This Row],[Task Name]]="","",IF(Tasks[[#This Row],[_IsSummary]],MAX(INDEX(Tasks[_LeafLateFinish],Tasks[[#This Row],[_Row]]+1):INDEX(Tasks[_LeafLateFinish],Tasks[[#This Row],[_Row]]+Tasks[[#This Row],[_Descendants]])),Tasks[[#This Row],[_LeafLateFinish]]))</f>
        <v/>
      </c>
      <c r="AG70" s="28" t="str">
        <f aca="false">IF(Tasks[[#This Row],[Task Name]]="","",IF(Tasks[[#This Row],[_IsSummary]],MIN(INDEX(Tasks[_LeafTotalSlack],Tasks[[#This Row],[_Row]]+1):INDEX(Tasks[_LeafTotalSlack],Tasks[[#This Row],[_Row]]+Tasks[[#This Row],[_Descendants]])),Tasks[[#This Row],[_LeafTotalSlack]]))</f>
        <v/>
      </c>
      <c r="AH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0" s="28" t="str">
        <f aca="false">IF(Tasks[[#This Row],[Task Name]]="","",IF(IF(Tasks[[#This Row],[_IsSummary]],COUNTIF(INDEX(Tasks[_LeafCritical],Tasks[[#This Row],[_Row]]+1):INDEX(Tasks[_LeafCritical],Tasks[[#This Row],[_Row]]+Tasks[[#This Row],[_Descendants]]),TRUE())&gt;0,Tasks[[#This Row],[_LeafCritical]]),"Yes",""))</f>
        <v/>
      </c>
      <c r="AJ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0" s="89"/>
      <c r="AM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0" s="28" t="str">
        <f aca="false">IF(Tasks[[#This Row],[Task Name]]="","",IF(Tasks[[#This Row],[Progress]]&gt;=1,"Complete",IF(OR(N(Tasks[[#This Row],[Actual Start]])&gt;0,Tasks[[#This Row],[Progress]]&gt;0),IF(Tasks[[#This Row],[Finish Var]]&gt;0,"Behind","In Progress"),IF(Tasks[[#This Row],[Planned Start]]&lt;StatusDate,"Late Start","Not Started"))))</f>
        <v/>
      </c>
      <c r="AO70" s="30"/>
      <c r="AP70" s="89"/>
      <c r="AQ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0" s="96" t="str">
        <f aca="false">IF(Tasks[[#This Row],[Task Name]]="","",IF(Tasks[[#This Row],[_IsSummary]],SUM(INDEX(Tasks[_LeafTotalWork],Tasks[[#This Row],[_Row]]+1):INDEX(Tasks[_LeafTotalWork],Tasks[[#This Row],[_Row]]+Tasks[[#This Row],[_Descendants]])),Tasks[[#This Row],[_LeafTotalWork]]))</f>
        <v/>
      </c>
      <c r="AT70" s="97" t="str">
        <f aca="false">IF(Tasks[[#This Row],[Task Name]]="","",IF(Tasks[[#This Row],[_IsSummary]],SUM(INDEX(Tasks[_LeafTotalCost],Tasks[[#This Row],[_Row]]+1):INDEX(Tasks[_LeafTotalCost],Tasks[[#This Row],[_Row]]+Tasks[[#This Row],[_Descendants]])),Tasks[[#This Row],[_LeafTotalCost]]))</f>
        <v/>
      </c>
      <c r="AU70" s="98"/>
      <c r="AV70" s="29"/>
      <c r="AW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0" s="83"/>
      <c r="AY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0" s="30"/>
      <c r="BA70" s="25" t="str">
        <f aca="false">IF(Tasks[[#This Row],[Task Name]]="","",Tasks[[#This Row],[Forecast Start]])</f>
        <v/>
      </c>
      <c r="BB70" s="25" t="str">
        <f aca="false">IF(Tasks[[#This Row],[Task Name]]="","",Tasks[[#This Row],[Forecast Finish]])</f>
        <v/>
      </c>
      <c r="BC70" s="28" t="str">
        <f aca="false">IF(Tasks[[#This Row],[Task Name]]="","",IF(Tasks[[#This Row],[_IsSummary]],NETWORKDAYS.INTL(Tasks[[#This Row],[Forecast Start]],Tasks[[#This Row],[Forecast Finish]],WorkWeek,Holidays),N(Tasks[[#This Row],[Duration]])))</f>
        <v/>
      </c>
      <c r="BD70" s="96" t="str">
        <f aca="false">IF(Tasks[[#This Row],[Task Name]]="","",Tasks[[#This Row],[Work]])</f>
        <v/>
      </c>
      <c r="BE70" s="97" t="str">
        <f aca="false">IF(Tasks[[#This Row],[Task Name]]="","",Tasks[[#This Row],[Cost]])</f>
        <v/>
      </c>
      <c r="BF70" s="75"/>
      <c r="BG70" s="75"/>
      <c r="BH70" s="29"/>
      <c r="BI70" s="99"/>
      <c r="BJ70" s="98"/>
      <c r="BK70" s="28" t="str">
        <f aca="false">IF(OR(Tasks[[#This Row],[Task Name]]="",Tasks[[#This Row],[Baseline Duration]]=""),"",Tasks[[#This Row],[BL Source Duration]]-N(Tasks[[#This Row],[Baseline Duration]]))</f>
        <v/>
      </c>
      <c r="BL70" s="96" t="str">
        <f aca="false">IF(OR(Tasks[[#This Row],[Task Name]]="",Tasks[[#This Row],[Baseline Work]]=""),"",Tasks[[#This Row],[Work]]-N(Tasks[[#This Row],[Baseline Work]]))</f>
        <v/>
      </c>
      <c r="BM70" s="97" t="str">
        <f aca="false">IF(OR(Tasks[[#This Row],[Task Name]]="",Tasks[[#This Row],[Baseline Cost]]=""),"",Tasks[[#This Row],[Cost]]-N(Tasks[[#This Row],[Baseline Cost]]))</f>
        <v/>
      </c>
      <c r="BN70" s="97" t="str">
        <f aca="false">IF(Tasks[[#This Row],[Task Name]]="","",IF(Tasks[[#This Row],[_IsSummary]],SUM(INDEX(Tasks[_LeafBudget],Tasks[[#This Row],[_Row]]+1):INDEX(Tasks[_LeafBudget],Tasks[[#This Row],[_Row]]+Tasks[[#This Row],[_Descendants]])),Tasks[[#This Row],[_LeafBudget]]))</f>
        <v/>
      </c>
      <c r="BO70" s="97" t="str">
        <f aca="false">IF(Tasks[[#This Row],[Task Name]]="","",IF(Tasks[[#This Row],[_IsSummary]],SUM(INDEX(Tasks[_LeafPV],Tasks[[#This Row],[_Row]]+1):INDEX(Tasks[_LeafPV],Tasks[[#This Row],[_Row]]+Tasks[[#This Row],[_Descendants]])),Tasks[[#This Row],[_LeafPV]]))</f>
        <v/>
      </c>
      <c r="BP70" s="97" t="str">
        <f aca="false">IF(Tasks[[#This Row],[Task Name]]="","",IF(Tasks[[#This Row],[_IsSummary]],SUM(INDEX(Tasks[_LeafEV],Tasks[[#This Row],[_Row]]+1):INDEX(Tasks[_LeafEV],Tasks[[#This Row],[_Row]]+Tasks[[#This Row],[_Descendants]])),Tasks[[#This Row],[_LeafEV]]))</f>
        <v/>
      </c>
      <c r="BQ70" s="97" t="str">
        <f aca="false">IF(Tasks[[#This Row],[Task Name]]="","",IF(Tasks[[#This Row],[_IsSummary]],SUM(INDEX(Tasks[_LeafAC],Tasks[[#This Row],[_Row]]+1):INDEX(Tasks[_LeafAC],Tasks[[#This Row],[_Row]]+Tasks[[#This Row],[_Descendants]])),Tasks[[#This Row],[_LeafAC]]))</f>
        <v/>
      </c>
      <c r="BR70" s="41" t="str">
        <f aca="false">IF(Tasks[[#This Row],[Task Name]]="","",MAX(1,N(Tasks[[#This Row],[Level]])))</f>
        <v/>
      </c>
      <c r="BS70" s="41" t="n">
        <f aca="false">ROW()-ROW(Tasks[[#Headers],[ID]])</f>
        <v>65</v>
      </c>
      <c r="BT70" s="41" t="n">
        <f aca="false">IF(OR(Tasks[[#This Row],[Task Name]]="",Tasks[[#This Row],[_Level]]&lt;=1),0,IFERROR(LOOKUP(2,1/(Tasks[[#Headers],[_Level]]:Tasks[[#This Row],[_Level]]=Tasks[[#This Row],[_Level]]-1),ROW(Tasks[[#Headers],[_Level]]:Tasks[[#This Row],[_Level]])),0))</f>
        <v>0</v>
      </c>
      <c r="BU70" s="41" t="n">
        <f aca="false">IFERROR(N(INDEX(Tasks[_Level],Tasks[[#This Row],[_Row]]+1)),0)</f>
        <v>0</v>
      </c>
      <c r="BV70" s="100" t="b">
        <f aca="false">AND(Tasks[[#This Row],[Task Name]]&lt;&gt;"",Tasks[[#This Row],[_NextLevel]]&gt;Tasks[[#This Row],[_Level]])</f>
        <v>0</v>
      </c>
      <c r="BW70" s="41" t="n">
        <f aca="false">IF(Tasks[[#This Row],[_IsSummary]],COUNTIF(Tasks[WBS],Tasks[[#This Row],[WBS]]&amp;".*"),0)</f>
        <v>0</v>
      </c>
      <c r="BX70" s="41" t="n">
        <f aca="false">IF(AND(Tasks[[#This Row],[Task Name]]&lt;&gt;"",NOT(Tasks[[#This Row],[_IsSummary]])),1,0)</f>
        <v>0</v>
      </c>
      <c r="BY70" s="41" t="n">
        <f aca="false">IF(N(Tasks[[#This Row],[Pred1 UID]])=0,0,IFERROR(MATCH(Tasks[[#This Row],[Pred1 UID]],Tasks[UID],0),-1))</f>
        <v>0</v>
      </c>
      <c r="BZ70" s="41" t="n">
        <f aca="false">IF(N(Tasks[[#This Row],[Pred2 UID]])=0,0,IFERROR(MATCH(Tasks[[#This Row],[Pred2 UID]],Tasks[UID],0),-1))</f>
        <v>0</v>
      </c>
      <c r="CA70" s="41" t="n">
        <f aca="false">IF(N(Tasks[[#This Row],[Pred3 UID]])=0,0,IFERROR(MATCH(Tasks[[#This Row],[Pred3 UID]],Tasks[UID],0),-1))</f>
        <v>0</v>
      </c>
      <c r="CB70" s="41" t="n">
        <f aca="false">IF(N(Tasks[[#This Row],[Pred4 UID]])=0,0,IFERROR(MATCH(Tasks[[#This Row],[Pred4 UID]],Tasks[UID],0),-1))</f>
        <v>0</v>
      </c>
      <c r="CC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0" s="101" t="n">
        <f aca="false">IF(OR(Tasks[[#This Row],[_ConstraintCode]]=2,Tasks[[#This Row],[_ConstraintCode]]=3,Tasks[[#This Row],[_ConstraintCode]]=4,Tasks[[#This Row],[_ConstraintCode]]=6),Tasks[[#This Row],[_ConstraintStart]],0)</f>
        <v>0</v>
      </c>
      <c r="CF70" s="101" t="n">
        <f aca="false">IF(OR(Tasks[[#This Row],[_ConstraintCode]]=2,Tasks[[#This Row],[_ConstraintCode]]=3,Tasks[[#This Row],[_ConstraintCode]]=5,Tasks[[#This Row],[_ConstraintCode]]=7),Tasks[[#This Row],[_ConstraintStart]],2958465)</f>
        <v>2958465</v>
      </c>
      <c r="CG7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0" s="101" t="str">
        <f aca="false">IF(NOT(Tasks[[#This Row],[_IsLeaf]]=1),"",IF(N(Tasks[[#This Row],[Duration]])&lt;=0,Tasks[[#This Row],[_LeafCalcStart]],WORKDAY.INTL(Tasks[[#This Row],[_LeafCalcStart]],Tasks[[#This Row],[Duration]]-1,WorkWeek,Holidays)))</f>
        <v/>
      </c>
      <c r="CI7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0" s="41" t="n">
        <f aca="false">IF(NOT(Tasks[[#This Row],[_IsLeaf]]=1),0,IF(N(Tasks[[#This Row],[Actual Finish]])&gt;0,1,MIN(1,N(Tasks[[#This Row],[% Complete]]))))</f>
        <v>0</v>
      </c>
      <c r="CL70" s="41" t="n">
        <f aca="false">IF(OR(NOT(Tasks[[#This Row],[_IsLeaf]]=1),Tasks[[#This Row],[Resource]]=""),0,N(Tasks[[#This Row],[Duration]])*HoursPerDay*IF(Tasks[[#This Row],[Units]]="",DefaultUnits,Tasks[[#This Row],[Units]]))</f>
        <v>0</v>
      </c>
      <c r="CM70" s="41" t="n">
        <f aca="false">IF(Tasks[[#This Row],[_LeafWork]]=0,0,Tasks[[#This Row],[_LeafWork]]*IFERROR(INDEX(res_Rate,MATCH(Tasks[[#This Row],[Resource]],res_Name,0)),0))</f>
        <v>0</v>
      </c>
      <c r="CN70" s="41" t="n">
        <f aca="false">Tasks[[#This Row],[_LeafWork]]+IF(Tasks[[#This Row],[_IsLeaf]]=1,SUMIFS(asg_Work,asg_TaskUID,Tasks[[#This Row],[UID]],asg_Valid,1),0)</f>
        <v>0</v>
      </c>
      <c r="CO70" s="41" t="n">
        <f aca="false">Tasks[[#This Row],[_LeafCost]]+IF(Tasks[[#This Row],[_IsLeaf]]=1,SUMIFS(asg_Cost,asg_TaskUID,Tasks[[#This Row],[UID]],asg_Valid,1),0)</f>
        <v>0</v>
      </c>
      <c r="CP70" s="41" t="n">
        <f aca="false">IF(Tasks[[#This Row],[_LeafTotalCost]]=0,Tasks[[#This Row],[_LeafAC]],Tasks[[#This Row],[_LeafAC]]*Tasks[[#This Row],[_LeafCost]]/Tasks[[#This Row],[_LeafTotalCost]])</f>
        <v>0</v>
      </c>
      <c r="CQ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0" s="41" t="n">
        <f aca="false">IF(NOT(Tasks[[#This Row],[_IsLeaf]]=1),0,MAX(_xlfn.MAXIFS(Tasks[_Row],Tasks[Pred1 UID],Tasks[[#This Row],[UID]]),_xlfn.MAXIFS(Tasks[_Row],Tasks[Pred2 UID],Tasks[[#This Row],[UID]]),_xlfn.MAXIFS(Tasks[_Row],Tasks[Pred3 UID],Tasks[[#This Row],[UID]]),_xlfn.MAXIFS(Tasks[_Row],Tasks[Pred4 UID],Tasks[[#This Row],[UID]])))</f>
        <v>0</v>
      </c>
      <c r="CZ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0" s="101" t="str">
        <f aca="false">IF(NOT(Tasks[[#This Row],[_IsLeaf]]=1),"",IF(N(Tasks[[#This Row],[Duration]])&lt;=0,Tasks[[#This Row],[_LeafLateFinish]],WORKDAY.INTL(Tasks[[#This Row],[_LeafLateFinish]],-(Tasks[[#This Row],[Duration]]-1),WorkWeek,Holidays)))</f>
        <v/>
      </c>
      <c r="DC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0" s="100" t="b">
        <f aca="false">AND(Tasks[[#This Row],[_IsLeaf]]=1,Tasks[[#This Row],[_LeafProgress]]&lt;1,N(Tasks[[#This Row],[_LeafTotalSlack]])&lt;=CriticalSlackDays)</f>
        <v>0</v>
      </c>
      <c r="DE70" s="41" t="n">
        <f aca="false">IF(AND(Tasks[[#This Row],[_IsLeaf]]=1,Tasks[[#This Row],[_ConstraintCode]]=1,Tasks[[#This Row],[Mode]]&lt;&gt;"Manual",N(Tasks[[#This Row],[Actual Start]])=0),MAX(0,N(Tasks[[#This Row],[Free Slack]])),0)</f>
        <v>0</v>
      </c>
      <c r="DF70" s="101" t="str">
        <f aca="false">IF(NOT(Tasks[[#This Row],[_IsLeaf]]=1),"",IF(Tasks[[#This Row],[_AlapShift]]=0,Tasks[[#This Row],[_LeafCalcStart]],WORKDAY.INTL(Tasks[[#This Row],[_LeafCalcStart]],Tasks[[#This Row],[_AlapShift]],WorkWeek,Holidays)))</f>
        <v/>
      </c>
      <c r="DG70" s="101" t="str">
        <f aca="false">IF(NOT(Tasks[[#This Row],[_IsLeaf]]=1),"",IF(Tasks[[#This Row],[_AlapShift]]=0,Tasks[[#This Row],[_LeafCalcFinish]],WORKDAY.INTL(Tasks[[#This Row],[_LeafCalcFinish]],Tasks[[#This Row],[_AlapShift]],WorkWeek,Holidays)))</f>
        <v/>
      </c>
      <c r="DH70" s="101" t="str">
        <f aca="false">IF(NOT(Tasks[[#This Row],[_IsLeaf]]=1),"",IF(Tasks[[#This Row],[_AlapShift]]=0,Tasks[[#This Row],[_LeafFcstStart]],WORKDAY.INTL(Tasks[[#This Row],[_LeafFcstStart]],Tasks[[#This Row],[_AlapShift]],WorkWeek,Holidays)))</f>
        <v/>
      </c>
      <c r="DI70" s="101" t="str">
        <f aca="false">IF(NOT(Tasks[[#This Row],[_IsLeaf]]=1),"",IF(Tasks[[#This Row],[_AlapShift]]=0,Tasks[[#This Row],[_LeafFcstFinish]],WORKDAY.INTL(Tasks[[#This Row],[_LeafFcstFinish]],Tasks[[#This Row],[_AlapShift]],WorkWeek,Holidays)))</f>
        <v/>
      </c>
      <c r="DJ70" s="101" t="str">
        <f aca="false">IF(Tasks[[#This Row],[Task Name]]="","",IF(Tasks[[#This Row],[_IsSummary]],MIN(INDEX(Tasks[_ShownCalcStart],Tasks[[#This Row],[_Row]]+1):INDEX(Tasks[_ShownCalcStart],Tasks[[#This Row],[_Row]]+Tasks[[#This Row],[_Descendants]])),Tasks[[#This Row],[_ShownCalcStart]]))</f>
        <v/>
      </c>
      <c r="DK70" s="101" t="str">
        <f aca="false">IF(Tasks[[#This Row],[Task Name]]="","",IF(Tasks[[#This Row],[_IsSummary]],MAX(INDEX(Tasks[_ShownCalcFinish],Tasks[[#This Row],[_Row]]+1):INDEX(Tasks[_ShownCalcFinish],Tasks[[#This Row],[_Row]]+Tasks[[#This Row],[_Descendants]])),Tasks[[#This Row],[_ShownCalcFinish]]))</f>
        <v/>
      </c>
      <c r="D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0" s="41" t="n">
        <f aca="false">IF(AND(Tasks[[#This Row],[_IsLeaf]]=1,Tasks[[#This Row],[_LeafTotalWork]]&gt;0),NETWORKDAYS.INTL(ProjectStart,Tasks[[#This Row],[_ShownFcstStart]],WorkWeek,Holidays),0)</f>
        <v>0</v>
      </c>
      <c r="DY70" s="41" t="n">
        <f aca="false">IF(AND(Tasks[[#This Row],[_IsLeaf]]=1,Tasks[[#This Row],[_LeafTotalWork]]&gt;0),MAX(Tasks[[#This Row],[_StartWorkday]],NETWORKDAYS.INTL(ProjectStart,Tasks[[#This Row],[_ShownFcstFinish]],WorkWeek,Holidays)),0)</f>
        <v>0</v>
      </c>
      <c r="DZ70" s="41" t="n">
        <f aca="false">IF(AND(Tasks[[#This Row],[_IsLeaf]]=1,Tasks[[#This Row],[_LeafTotalWork]]&gt;0),Tasks[[#This Row],[_LeafWork]]/(Tasks[[#This Row],[_FinishWorkday]]-Tasks[[#This Row],[_StartWorkday]]+1),0)</f>
        <v>0</v>
      </c>
      <c r="EA70" s="41" t="n">
        <f aca="false">Tasks[[#This Row],[_WorkPerWorkday]]*(Tasks[[#This Row],[_StartWorkday]]-1)</f>
        <v>-0</v>
      </c>
      <c r="EB70" s="41" t="n">
        <f aca="false">IF(Tasks[[#This Row],[_IsLeaf]]=1,MAX(N(Tasks[[#This Row],[Duration]]),0.1),0)</f>
        <v>0</v>
      </c>
      <c r="EC70" s="41" t="n">
        <f aca="false">Tasks[[#This Row],[_WeightDur]]*Tasks[[#This Row],[_LeafProgress]]</f>
        <v>0</v>
      </c>
      <c r="ED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0" s="41" t="str">
        <f aca="false">IF(AND(Tasks[[#This Row],[_IsLeaf]]=1,N(Tasks[[#This Row],[Duration]])=0,Tasks[[#This Row],[_LeafProgress]]&lt;1),Tasks[[#This Row],[_ShownFcstFinish]]+Tasks[[#This Row],[_Row]]/100000,"")</f>
        <v/>
      </c>
      <c r="EF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0" s="41" t="n">
        <f aca="false">IF(NOT(Tasks[[#This Row],[_IsLeaf]]=1),0,IF(Tasks[[#This Row],[Baseline Cost]]="",Tasks[[#This Row],[_LeafTotalCost]],N(Tasks[[#This Row],[Baseline Cost]])))</f>
        <v>0</v>
      </c>
      <c r="EH70" s="41" t="n">
        <f aca="false">Tasks[[#This Row],[_LeafBudget]]*Tasks[[#This Row],[_PlannedPct]]</f>
        <v>0</v>
      </c>
      <c r="EI70" s="41" t="n">
        <f aca="false">Tasks[[#This Row],[_LeafBudget]]*Tasks[[#This Row],[_LeafProgress]]</f>
        <v>0</v>
      </c>
      <c r="EJ70" s="41" t="n">
        <f aca="false">IF(NOT(Tasks[[#This Row],[_IsLeaf]]=1),0,IF(Tasks[[#This Row],[Actual Cost]]="",Tasks[[#This Row],[_LeafTotalCost]]*Tasks[[#This Row],[_LeafProgress]],N(Tasks[[#This Row],[Actual Cost]])))</f>
        <v>0</v>
      </c>
      <c r="EK70" s="41" t="str">
        <f aca="false">IF(Tasks[[#This Row],[Task Name]]="","",LEFT(Tasks[[#This Row],[WBS]],FIND(".",Tasks[[#This Row],[WBS]]&amp;".")-1))</f>
        <v/>
      </c>
      <c r="EL70" s="41" t="str">
        <f aca="false">IF(AND(Tasks[[#This Row],[Task Name]]&lt;&gt;"",Tasks[[#This Row],[_Level]]=1),Tasks[[#This Row],[_Row]],"")</f>
        <v/>
      </c>
      <c r="EM70" s="41" t="str">
        <f aca="false">IF(AND(Tasks[[#This Row],[_IsLeaf]]=1,N(Tasks[[#This Row],[Duration]])=0),Tasks[[#This Row],[Planned Finish]]+Tasks[[#This Row],[_Row]]/100000,"")</f>
        <v/>
      </c>
      <c r="EN70" s="41" t="str">
        <f aca="false">IF(AND(Tasks[[#This Row],[_IsLeaf]]=1,Tasks[[#This Row],[_LeafProgress]]&lt;1,OR(N(Tasks[[#This Row],[Finish Var]])&gt;0,Tasks[[#This Row],[Status]]="Late Start")),MAX(0,Tasks[[#This Row],[Finish Var]])+1-Tasks[[#This Row],[_Row]]/1000000,"")</f>
        <v/>
      </c>
      <c r="EO70" s="41" t="str">
        <f aca="false">IF(AND(Tasks[[#This Row],[_IsLeaf]]=1,N(Tasks[[#This Row],[Actual Start]])=0,Tasks[[#This Row],[_ShownFcstStart]]&gt;=StatusDate,Tasks[[#This Row],[_ShownFcstStart]]&lt;=LookaheadEnd),Tasks[[#This Row],[_ShownFcstStart]]+Tasks[[#This Row],[_Row]]/100000,"")</f>
        <v/>
      </c>
      <c r="EP70" s="41" t="str">
        <f aca="false">IF(AND(Tasks[[#This Row],[_IsLeaf]]=1,Tasks[[#This Row],[_LeafProgress]]&lt;1,Tasks[[#This Row],[_ShownFcstFinish]]&gt;=StatusDate,Tasks[[#This Row],[_ShownFcstFinish]]&lt;=LookaheadEnd),Tasks[[#This Row],[_ShownFcstFinish]]+Tasks[[#This Row],[_Row]]/100000,"")</f>
        <v/>
      </c>
      <c r="EQ70" s="41" t="str">
        <f aca="false">IF(Tasks[[#This Row],[_LeafCritical]],Tasks[[#This Row],[_ShownFcstStart]]+Tasks[[#This Row],[_Row]]/100000,"")</f>
        <v/>
      </c>
      <c r="ER70" s="41" t="n">
        <f aca="false">Tasks[[#This Row],[_LeafWork]]*Tasks[[#This Row],[_LeafProgress]]</f>
        <v>0</v>
      </c>
      <c r="ES70" s="101" t="str">
        <f aca="false">IF(AND(Tasks[[#This Row],[_IsLeaf]]=1,Tasks[[#This Row],[_LeafProgress]]&gt;=1),IF(N(Tasks[[#This Row],[Actual Finish]])&gt;0,Tasks[[#This Row],[Actual Finish]],Tasks[[#This Row],[_ShownFcstFinish]]),"")</f>
        <v/>
      </c>
      <c r="ET70" s="41" t="n">
        <f aca="false">IF(Tasks[[#This Row],[_IsLeaf]]=1,N(Tasks[[#This Row],[Story Points]]),0)</f>
        <v>0</v>
      </c>
      <c r="EU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29"/>
      <c r="O71" s="29"/>
      <c r="P71" s="29"/>
      <c r="Q71" s="29"/>
      <c r="R71" s="29"/>
      <c r="S71" s="29"/>
      <c r="T71" s="30"/>
      <c r="U71" s="75"/>
      <c r="V71" s="75"/>
      <c r="W71" s="25" t="str">
        <f aca="false">IF(Tasks[[#This Row],[Task Name]]="","",IF(N(Tasks[[#This Row],[Baseline Start]])&gt;0,Tasks[[#This Row],[Baseline Start]],Tasks[[#This Row],[_CalcStart]]))</f>
        <v/>
      </c>
      <c r="X71" s="25" t="str">
        <f aca="false">IF(Tasks[[#This Row],[Task Name]]="","",IF(N(Tasks[[#This Row],[Baseline Finish]])&gt;0,Tasks[[#This Row],[Baseline Finish]],Tasks[[#This Row],[_CalcFinish]]))</f>
        <v/>
      </c>
      <c r="Y71" s="75"/>
      <c r="Z71" s="75"/>
      <c r="AA71" s="25" t="str">
        <f aca="false">IF(Tasks[[#This Row],[Task Name]]="","",IF(Tasks[[#This Row],[_IsSummary]],MIN(INDEX(Tasks[_ShownFcstStart],Tasks[[#This Row],[_Row]]+1):INDEX(Tasks[_ShownFcstStart],Tasks[[#This Row],[_Row]]+Tasks[[#This Row],[_Descendants]])),Tasks[[#This Row],[_ShownFcstStart]]))</f>
        <v/>
      </c>
      <c r="AB71" s="25" t="str">
        <f aca="false">IF(Tasks[[#This Row],[Task Name]]="","",IF(Tasks[[#This Row],[_IsSummary]],MAX(INDEX(Tasks[_ShownFcstFinish],Tasks[[#This Row],[_Row]]+1):INDEX(Tasks[_ShownFcstFinish],Tasks[[#This Row],[_Row]]+Tasks[[#This Row],[_Descendants]])),Tasks[[#This Row],[_ShownFcstFinish]]))</f>
        <v/>
      </c>
      <c r="AC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1" s="25" t="str">
        <f aca="false">IF(Tasks[[#This Row],[Task Name]]="","",IF(Tasks[[#This Row],[_IsSummary]],MIN(INDEX(Tasks[_LeafLateStart],Tasks[[#This Row],[_Row]]+1):INDEX(Tasks[_LeafLateStart],Tasks[[#This Row],[_Row]]+Tasks[[#This Row],[_Descendants]])),Tasks[[#This Row],[_LeafLateStart]]))</f>
        <v/>
      </c>
      <c r="AF71" s="25" t="str">
        <f aca="false">IF(Tasks[[#This Row],[Task Name]]="","",IF(Tasks[[#This Row],[_IsSummary]],MAX(INDEX(Tasks[_LeafLateFinish],Tasks[[#This Row],[_Row]]+1):INDEX(Tasks[_LeafLateFinish],Tasks[[#This Row],[_Row]]+Tasks[[#This Row],[_Descendants]])),Tasks[[#This Row],[_LeafLateFinish]]))</f>
        <v/>
      </c>
      <c r="AG71" s="28" t="str">
        <f aca="false">IF(Tasks[[#This Row],[Task Name]]="","",IF(Tasks[[#This Row],[_IsSummary]],MIN(INDEX(Tasks[_LeafTotalSlack],Tasks[[#This Row],[_Row]]+1):INDEX(Tasks[_LeafTotalSlack],Tasks[[#This Row],[_Row]]+Tasks[[#This Row],[_Descendants]])),Tasks[[#This Row],[_LeafTotalSlack]]))</f>
        <v/>
      </c>
      <c r="AH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1" s="28" t="str">
        <f aca="false">IF(Tasks[[#This Row],[Task Name]]="","",IF(IF(Tasks[[#This Row],[_IsSummary]],COUNTIF(INDEX(Tasks[_LeafCritical],Tasks[[#This Row],[_Row]]+1):INDEX(Tasks[_LeafCritical],Tasks[[#This Row],[_Row]]+Tasks[[#This Row],[_Descendants]]),TRUE())&gt;0,Tasks[[#This Row],[_LeafCritical]]),"Yes",""))</f>
        <v/>
      </c>
      <c r="AJ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1" s="89"/>
      <c r="AM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1" s="28" t="str">
        <f aca="false">IF(Tasks[[#This Row],[Task Name]]="","",IF(Tasks[[#This Row],[Progress]]&gt;=1,"Complete",IF(OR(N(Tasks[[#This Row],[Actual Start]])&gt;0,Tasks[[#This Row],[Progress]]&gt;0),IF(Tasks[[#This Row],[Finish Var]]&gt;0,"Behind","In Progress"),IF(Tasks[[#This Row],[Planned Start]]&lt;StatusDate,"Late Start","Not Started"))))</f>
        <v/>
      </c>
      <c r="AO71" s="30"/>
      <c r="AP71" s="89"/>
      <c r="AQ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1" s="96" t="str">
        <f aca="false">IF(Tasks[[#This Row],[Task Name]]="","",IF(Tasks[[#This Row],[_IsSummary]],SUM(INDEX(Tasks[_LeafTotalWork],Tasks[[#This Row],[_Row]]+1):INDEX(Tasks[_LeafTotalWork],Tasks[[#This Row],[_Row]]+Tasks[[#This Row],[_Descendants]])),Tasks[[#This Row],[_LeafTotalWork]]))</f>
        <v/>
      </c>
      <c r="AT71" s="97" t="str">
        <f aca="false">IF(Tasks[[#This Row],[Task Name]]="","",IF(Tasks[[#This Row],[_IsSummary]],SUM(INDEX(Tasks[_LeafTotalCost],Tasks[[#This Row],[_Row]]+1):INDEX(Tasks[_LeafTotalCost],Tasks[[#This Row],[_Row]]+Tasks[[#This Row],[_Descendants]])),Tasks[[#This Row],[_LeafTotalCost]]))</f>
        <v/>
      </c>
      <c r="AU71" s="98"/>
      <c r="AV71" s="29"/>
      <c r="AW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1" s="83"/>
      <c r="AY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1" s="30"/>
      <c r="BA71" s="25" t="str">
        <f aca="false">IF(Tasks[[#This Row],[Task Name]]="","",Tasks[[#This Row],[Forecast Start]])</f>
        <v/>
      </c>
      <c r="BB71" s="25" t="str">
        <f aca="false">IF(Tasks[[#This Row],[Task Name]]="","",Tasks[[#This Row],[Forecast Finish]])</f>
        <v/>
      </c>
      <c r="BC71" s="28" t="str">
        <f aca="false">IF(Tasks[[#This Row],[Task Name]]="","",IF(Tasks[[#This Row],[_IsSummary]],NETWORKDAYS.INTL(Tasks[[#This Row],[Forecast Start]],Tasks[[#This Row],[Forecast Finish]],WorkWeek,Holidays),N(Tasks[[#This Row],[Duration]])))</f>
        <v/>
      </c>
      <c r="BD71" s="96" t="str">
        <f aca="false">IF(Tasks[[#This Row],[Task Name]]="","",Tasks[[#This Row],[Work]])</f>
        <v/>
      </c>
      <c r="BE71" s="97" t="str">
        <f aca="false">IF(Tasks[[#This Row],[Task Name]]="","",Tasks[[#This Row],[Cost]])</f>
        <v/>
      </c>
      <c r="BF71" s="75"/>
      <c r="BG71" s="75"/>
      <c r="BH71" s="29"/>
      <c r="BI71" s="99"/>
      <c r="BJ71" s="98"/>
      <c r="BK71" s="28" t="str">
        <f aca="false">IF(OR(Tasks[[#This Row],[Task Name]]="",Tasks[[#This Row],[Baseline Duration]]=""),"",Tasks[[#This Row],[BL Source Duration]]-N(Tasks[[#This Row],[Baseline Duration]]))</f>
        <v/>
      </c>
      <c r="BL71" s="96" t="str">
        <f aca="false">IF(OR(Tasks[[#This Row],[Task Name]]="",Tasks[[#This Row],[Baseline Work]]=""),"",Tasks[[#This Row],[Work]]-N(Tasks[[#This Row],[Baseline Work]]))</f>
        <v/>
      </c>
      <c r="BM71" s="97" t="str">
        <f aca="false">IF(OR(Tasks[[#This Row],[Task Name]]="",Tasks[[#This Row],[Baseline Cost]]=""),"",Tasks[[#This Row],[Cost]]-N(Tasks[[#This Row],[Baseline Cost]]))</f>
        <v/>
      </c>
      <c r="BN71" s="97" t="str">
        <f aca="false">IF(Tasks[[#This Row],[Task Name]]="","",IF(Tasks[[#This Row],[_IsSummary]],SUM(INDEX(Tasks[_LeafBudget],Tasks[[#This Row],[_Row]]+1):INDEX(Tasks[_LeafBudget],Tasks[[#This Row],[_Row]]+Tasks[[#This Row],[_Descendants]])),Tasks[[#This Row],[_LeafBudget]]))</f>
        <v/>
      </c>
      <c r="BO71" s="97" t="str">
        <f aca="false">IF(Tasks[[#This Row],[Task Name]]="","",IF(Tasks[[#This Row],[_IsSummary]],SUM(INDEX(Tasks[_LeafPV],Tasks[[#This Row],[_Row]]+1):INDEX(Tasks[_LeafPV],Tasks[[#This Row],[_Row]]+Tasks[[#This Row],[_Descendants]])),Tasks[[#This Row],[_LeafPV]]))</f>
        <v/>
      </c>
      <c r="BP71" s="97" t="str">
        <f aca="false">IF(Tasks[[#This Row],[Task Name]]="","",IF(Tasks[[#This Row],[_IsSummary]],SUM(INDEX(Tasks[_LeafEV],Tasks[[#This Row],[_Row]]+1):INDEX(Tasks[_LeafEV],Tasks[[#This Row],[_Row]]+Tasks[[#This Row],[_Descendants]])),Tasks[[#This Row],[_LeafEV]]))</f>
        <v/>
      </c>
      <c r="BQ71" s="97" t="str">
        <f aca="false">IF(Tasks[[#This Row],[Task Name]]="","",IF(Tasks[[#This Row],[_IsSummary]],SUM(INDEX(Tasks[_LeafAC],Tasks[[#This Row],[_Row]]+1):INDEX(Tasks[_LeafAC],Tasks[[#This Row],[_Row]]+Tasks[[#This Row],[_Descendants]])),Tasks[[#This Row],[_LeafAC]]))</f>
        <v/>
      </c>
      <c r="BR71" s="41" t="str">
        <f aca="false">IF(Tasks[[#This Row],[Task Name]]="","",MAX(1,N(Tasks[[#This Row],[Level]])))</f>
        <v/>
      </c>
      <c r="BS71" s="41" t="n">
        <f aca="false">ROW()-ROW(Tasks[[#Headers],[ID]])</f>
        <v>66</v>
      </c>
      <c r="BT71" s="41" t="n">
        <f aca="false">IF(OR(Tasks[[#This Row],[Task Name]]="",Tasks[[#This Row],[_Level]]&lt;=1),0,IFERROR(LOOKUP(2,1/(Tasks[[#Headers],[_Level]]:Tasks[[#This Row],[_Level]]=Tasks[[#This Row],[_Level]]-1),ROW(Tasks[[#Headers],[_Level]]:Tasks[[#This Row],[_Level]])),0))</f>
        <v>0</v>
      </c>
      <c r="BU71" s="41" t="n">
        <f aca="false">IFERROR(N(INDEX(Tasks[_Level],Tasks[[#This Row],[_Row]]+1)),0)</f>
        <v>0</v>
      </c>
      <c r="BV71" s="100" t="b">
        <f aca="false">AND(Tasks[[#This Row],[Task Name]]&lt;&gt;"",Tasks[[#This Row],[_NextLevel]]&gt;Tasks[[#This Row],[_Level]])</f>
        <v>0</v>
      </c>
      <c r="BW71" s="41" t="n">
        <f aca="false">IF(Tasks[[#This Row],[_IsSummary]],COUNTIF(Tasks[WBS],Tasks[[#This Row],[WBS]]&amp;".*"),0)</f>
        <v>0</v>
      </c>
      <c r="BX71" s="41" t="n">
        <f aca="false">IF(AND(Tasks[[#This Row],[Task Name]]&lt;&gt;"",NOT(Tasks[[#This Row],[_IsSummary]])),1,0)</f>
        <v>0</v>
      </c>
      <c r="BY71" s="41" t="n">
        <f aca="false">IF(N(Tasks[[#This Row],[Pred1 UID]])=0,0,IFERROR(MATCH(Tasks[[#This Row],[Pred1 UID]],Tasks[UID],0),-1))</f>
        <v>0</v>
      </c>
      <c r="BZ71" s="41" t="n">
        <f aca="false">IF(N(Tasks[[#This Row],[Pred2 UID]])=0,0,IFERROR(MATCH(Tasks[[#This Row],[Pred2 UID]],Tasks[UID],0),-1))</f>
        <v>0</v>
      </c>
      <c r="CA71" s="41" t="n">
        <f aca="false">IF(N(Tasks[[#This Row],[Pred3 UID]])=0,0,IFERROR(MATCH(Tasks[[#This Row],[Pred3 UID]],Tasks[UID],0),-1))</f>
        <v>0</v>
      </c>
      <c r="CB71" s="41" t="n">
        <f aca="false">IF(N(Tasks[[#This Row],[Pred4 UID]])=0,0,IFERROR(MATCH(Tasks[[#This Row],[Pred4 UID]],Tasks[UID],0),-1))</f>
        <v>0</v>
      </c>
      <c r="CC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1" s="101" t="n">
        <f aca="false">IF(OR(Tasks[[#This Row],[_ConstraintCode]]=2,Tasks[[#This Row],[_ConstraintCode]]=3,Tasks[[#This Row],[_ConstraintCode]]=4,Tasks[[#This Row],[_ConstraintCode]]=6),Tasks[[#This Row],[_ConstraintStart]],0)</f>
        <v>0</v>
      </c>
      <c r="CF71" s="101" t="n">
        <f aca="false">IF(OR(Tasks[[#This Row],[_ConstraintCode]]=2,Tasks[[#This Row],[_ConstraintCode]]=3,Tasks[[#This Row],[_ConstraintCode]]=5,Tasks[[#This Row],[_ConstraintCode]]=7),Tasks[[#This Row],[_ConstraintStart]],2958465)</f>
        <v>2958465</v>
      </c>
      <c r="CG7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1" s="101" t="str">
        <f aca="false">IF(NOT(Tasks[[#This Row],[_IsLeaf]]=1),"",IF(N(Tasks[[#This Row],[Duration]])&lt;=0,Tasks[[#This Row],[_LeafCalcStart]],WORKDAY.INTL(Tasks[[#This Row],[_LeafCalcStart]],Tasks[[#This Row],[Duration]]-1,WorkWeek,Holidays)))</f>
        <v/>
      </c>
      <c r="CI7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1" s="41" t="n">
        <f aca="false">IF(NOT(Tasks[[#This Row],[_IsLeaf]]=1),0,IF(N(Tasks[[#This Row],[Actual Finish]])&gt;0,1,MIN(1,N(Tasks[[#This Row],[% Complete]]))))</f>
        <v>0</v>
      </c>
      <c r="CL71" s="41" t="n">
        <f aca="false">IF(OR(NOT(Tasks[[#This Row],[_IsLeaf]]=1),Tasks[[#This Row],[Resource]]=""),0,N(Tasks[[#This Row],[Duration]])*HoursPerDay*IF(Tasks[[#This Row],[Units]]="",DefaultUnits,Tasks[[#This Row],[Units]]))</f>
        <v>0</v>
      </c>
      <c r="CM71" s="41" t="n">
        <f aca="false">IF(Tasks[[#This Row],[_LeafWork]]=0,0,Tasks[[#This Row],[_LeafWork]]*IFERROR(INDEX(res_Rate,MATCH(Tasks[[#This Row],[Resource]],res_Name,0)),0))</f>
        <v>0</v>
      </c>
      <c r="CN71" s="41" t="n">
        <f aca="false">Tasks[[#This Row],[_LeafWork]]+IF(Tasks[[#This Row],[_IsLeaf]]=1,SUMIFS(asg_Work,asg_TaskUID,Tasks[[#This Row],[UID]],asg_Valid,1),0)</f>
        <v>0</v>
      </c>
      <c r="CO71" s="41" t="n">
        <f aca="false">Tasks[[#This Row],[_LeafCost]]+IF(Tasks[[#This Row],[_IsLeaf]]=1,SUMIFS(asg_Cost,asg_TaskUID,Tasks[[#This Row],[UID]],asg_Valid,1),0)</f>
        <v>0</v>
      </c>
      <c r="CP71" s="41" t="n">
        <f aca="false">IF(Tasks[[#This Row],[_LeafTotalCost]]=0,Tasks[[#This Row],[_LeafAC]],Tasks[[#This Row],[_LeafAC]]*Tasks[[#This Row],[_LeafCost]]/Tasks[[#This Row],[_LeafTotalCost]])</f>
        <v>0</v>
      </c>
      <c r="CQ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1" s="41" t="n">
        <f aca="false">IF(NOT(Tasks[[#This Row],[_IsLeaf]]=1),0,MAX(_xlfn.MAXIFS(Tasks[_Row],Tasks[Pred1 UID],Tasks[[#This Row],[UID]]),_xlfn.MAXIFS(Tasks[_Row],Tasks[Pred2 UID],Tasks[[#This Row],[UID]]),_xlfn.MAXIFS(Tasks[_Row],Tasks[Pred3 UID],Tasks[[#This Row],[UID]]),_xlfn.MAXIFS(Tasks[_Row],Tasks[Pred4 UID],Tasks[[#This Row],[UID]])))</f>
        <v>0</v>
      </c>
      <c r="CZ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1" s="101" t="str">
        <f aca="false">IF(NOT(Tasks[[#This Row],[_IsLeaf]]=1),"",IF(N(Tasks[[#This Row],[Duration]])&lt;=0,Tasks[[#This Row],[_LeafLateFinish]],WORKDAY.INTL(Tasks[[#This Row],[_LeafLateFinish]],-(Tasks[[#This Row],[Duration]]-1),WorkWeek,Holidays)))</f>
        <v/>
      </c>
      <c r="DC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1" s="100" t="b">
        <f aca="false">AND(Tasks[[#This Row],[_IsLeaf]]=1,Tasks[[#This Row],[_LeafProgress]]&lt;1,N(Tasks[[#This Row],[_LeafTotalSlack]])&lt;=CriticalSlackDays)</f>
        <v>0</v>
      </c>
      <c r="DE71" s="41" t="n">
        <f aca="false">IF(AND(Tasks[[#This Row],[_IsLeaf]]=1,Tasks[[#This Row],[_ConstraintCode]]=1,Tasks[[#This Row],[Mode]]&lt;&gt;"Manual",N(Tasks[[#This Row],[Actual Start]])=0),MAX(0,N(Tasks[[#This Row],[Free Slack]])),0)</f>
        <v>0</v>
      </c>
      <c r="DF71" s="101" t="str">
        <f aca="false">IF(NOT(Tasks[[#This Row],[_IsLeaf]]=1),"",IF(Tasks[[#This Row],[_AlapShift]]=0,Tasks[[#This Row],[_LeafCalcStart]],WORKDAY.INTL(Tasks[[#This Row],[_LeafCalcStart]],Tasks[[#This Row],[_AlapShift]],WorkWeek,Holidays)))</f>
        <v/>
      </c>
      <c r="DG71" s="101" t="str">
        <f aca="false">IF(NOT(Tasks[[#This Row],[_IsLeaf]]=1),"",IF(Tasks[[#This Row],[_AlapShift]]=0,Tasks[[#This Row],[_LeafCalcFinish]],WORKDAY.INTL(Tasks[[#This Row],[_LeafCalcFinish]],Tasks[[#This Row],[_AlapShift]],WorkWeek,Holidays)))</f>
        <v/>
      </c>
      <c r="DH71" s="101" t="str">
        <f aca="false">IF(NOT(Tasks[[#This Row],[_IsLeaf]]=1),"",IF(Tasks[[#This Row],[_AlapShift]]=0,Tasks[[#This Row],[_LeafFcstStart]],WORKDAY.INTL(Tasks[[#This Row],[_LeafFcstStart]],Tasks[[#This Row],[_AlapShift]],WorkWeek,Holidays)))</f>
        <v/>
      </c>
      <c r="DI71" s="101" t="str">
        <f aca="false">IF(NOT(Tasks[[#This Row],[_IsLeaf]]=1),"",IF(Tasks[[#This Row],[_AlapShift]]=0,Tasks[[#This Row],[_LeafFcstFinish]],WORKDAY.INTL(Tasks[[#This Row],[_LeafFcstFinish]],Tasks[[#This Row],[_AlapShift]],WorkWeek,Holidays)))</f>
        <v/>
      </c>
      <c r="DJ71" s="101" t="str">
        <f aca="false">IF(Tasks[[#This Row],[Task Name]]="","",IF(Tasks[[#This Row],[_IsSummary]],MIN(INDEX(Tasks[_ShownCalcStart],Tasks[[#This Row],[_Row]]+1):INDEX(Tasks[_ShownCalcStart],Tasks[[#This Row],[_Row]]+Tasks[[#This Row],[_Descendants]])),Tasks[[#This Row],[_ShownCalcStart]]))</f>
        <v/>
      </c>
      <c r="DK71" s="101" t="str">
        <f aca="false">IF(Tasks[[#This Row],[Task Name]]="","",IF(Tasks[[#This Row],[_IsSummary]],MAX(INDEX(Tasks[_ShownCalcFinish],Tasks[[#This Row],[_Row]]+1):INDEX(Tasks[_ShownCalcFinish],Tasks[[#This Row],[_Row]]+Tasks[[#This Row],[_Descendants]])),Tasks[[#This Row],[_ShownCalcFinish]]))</f>
        <v/>
      </c>
      <c r="D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1" s="41" t="n">
        <f aca="false">IF(AND(Tasks[[#This Row],[_IsLeaf]]=1,Tasks[[#This Row],[_LeafTotalWork]]&gt;0),NETWORKDAYS.INTL(ProjectStart,Tasks[[#This Row],[_ShownFcstStart]],WorkWeek,Holidays),0)</f>
        <v>0</v>
      </c>
      <c r="DY71" s="41" t="n">
        <f aca="false">IF(AND(Tasks[[#This Row],[_IsLeaf]]=1,Tasks[[#This Row],[_LeafTotalWork]]&gt;0),MAX(Tasks[[#This Row],[_StartWorkday]],NETWORKDAYS.INTL(ProjectStart,Tasks[[#This Row],[_ShownFcstFinish]],WorkWeek,Holidays)),0)</f>
        <v>0</v>
      </c>
      <c r="DZ71" s="41" t="n">
        <f aca="false">IF(AND(Tasks[[#This Row],[_IsLeaf]]=1,Tasks[[#This Row],[_LeafTotalWork]]&gt;0),Tasks[[#This Row],[_LeafWork]]/(Tasks[[#This Row],[_FinishWorkday]]-Tasks[[#This Row],[_StartWorkday]]+1),0)</f>
        <v>0</v>
      </c>
      <c r="EA71" s="41" t="n">
        <f aca="false">Tasks[[#This Row],[_WorkPerWorkday]]*(Tasks[[#This Row],[_StartWorkday]]-1)</f>
        <v>-0</v>
      </c>
      <c r="EB71" s="41" t="n">
        <f aca="false">IF(Tasks[[#This Row],[_IsLeaf]]=1,MAX(N(Tasks[[#This Row],[Duration]]),0.1),0)</f>
        <v>0</v>
      </c>
      <c r="EC71" s="41" t="n">
        <f aca="false">Tasks[[#This Row],[_WeightDur]]*Tasks[[#This Row],[_LeafProgress]]</f>
        <v>0</v>
      </c>
      <c r="ED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1" s="41" t="str">
        <f aca="false">IF(AND(Tasks[[#This Row],[_IsLeaf]]=1,N(Tasks[[#This Row],[Duration]])=0,Tasks[[#This Row],[_LeafProgress]]&lt;1),Tasks[[#This Row],[_ShownFcstFinish]]+Tasks[[#This Row],[_Row]]/100000,"")</f>
        <v/>
      </c>
      <c r="EF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1" s="41" t="n">
        <f aca="false">IF(NOT(Tasks[[#This Row],[_IsLeaf]]=1),0,IF(Tasks[[#This Row],[Baseline Cost]]="",Tasks[[#This Row],[_LeafTotalCost]],N(Tasks[[#This Row],[Baseline Cost]])))</f>
        <v>0</v>
      </c>
      <c r="EH71" s="41" t="n">
        <f aca="false">Tasks[[#This Row],[_LeafBudget]]*Tasks[[#This Row],[_PlannedPct]]</f>
        <v>0</v>
      </c>
      <c r="EI71" s="41" t="n">
        <f aca="false">Tasks[[#This Row],[_LeafBudget]]*Tasks[[#This Row],[_LeafProgress]]</f>
        <v>0</v>
      </c>
      <c r="EJ71" s="41" t="n">
        <f aca="false">IF(NOT(Tasks[[#This Row],[_IsLeaf]]=1),0,IF(Tasks[[#This Row],[Actual Cost]]="",Tasks[[#This Row],[_LeafTotalCost]]*Tasks[[#This Row],[_LeafProgress]],N(Tasks[[#This Row],[Actual Cost]])))</f>
        <v>0</v>
      </c>
      <c r="EK71" s="41" t="str">
        <f aca="false">IF(Tasks[[#This Row],[Task Name]]="","",LEFT(Tasks[[#This Row],[WBS]],FIND(".",Tasks[[#This Row],[WBS]]&amp;".")-1))</f>
        <v/>
      </c>
      <c r="EL71" s="41" t="str">
        <f aca="false">IF(AND(Tasks[[#This Row],[Task Name]]&lt;&gt;"",Tasks[[#This Row],[_Level]]=1),Tasks[[#This Row],[_Row]],"")</f>
        <v/>
      </c>
      <c r="EM71" s="41" t="str">
        <f aca="false">IF(AND(Tasks[[#This Row],[_IsLeaf]]=1,N(Tasks[[#This Row],[Duration]])=0),Tasks[[#This Row],[Planned Finish]]+Tasks[[#This Row],[_Row]]/100000,"")</f>
        <v/>
      </c>
      <c r="EN71" s="41" t="str">
        <f aca="false">IF(AND(Tasks[[#This Row],[_IsLeaf]]=1,Tasks[[#This Row],[_LeafProgress]]&lt;1,OR(N(Tasks[[#This Row],[Finish Var]])&gt;0,Tasks[[#This Row],[Status]]="Late Start")),MAX(0,Tasks[[#This Row],[Finish Var]])+1-Tasks[[#This Row],[_Row]]/1000000,"")</f>
        <v/>
      </c>
      <c r="EO71" s="41" t="str">
        <f aca="false">IF(AND(Tasks[[#This Row],[_IsLeaf]]=1,N(Tasks[[#This Row],[Actual Start]])=0,Tasks[[#This Row],[_ShownFcstStart]]&gt;=StatusDate,Tasks[[#This Row],[_ShownFcstStart]]&lt;=LookaheadEnd),Tasks[[#This Row],[_ShownFcstStart]]+Tasks[[#This Row],[_Row]]/100000,"")</f>
        <v/>
      </c>
      <c r="EP71" s="41" t="str">
        <f aca="false">IF(AND(Tasks[[#This Row],[_IsLeaf]]=1,Tasks[[#This Row],[_LeafProgress]]&lt;1,Tasks[[#This Row],[_ShownFcstFinish]]&gt;=StatusDate,Tasks[[#This Row],[_ShownFcstFinish]]&lt;=LookaheadEnd),Tasks[[#This Row],[_ShownFcstFinish]]+Tasks[[#This Row],[_Row]]/100000,"")</f>
        <v/>
      </c>
      <c r="EQ71" s="41" t="str">
        <f aca="false">IF(Tasks[[#This Row],[_LeafCritical]],Tasks[[#This Row],[_ShownFcstStart]]+Tasks[[#This Row],[_Row]]/100000,"")</f>
        <v/>
      </c>
      <c r="ER71" s="41" t="n">
        <f aca="false">Tasks[[#This Row],[_LeafWork]]*Tasks[[#This Row],[_LeafProgress]]</f>
        <v>0</v>
      </c>
      <c r="ES71" s="101" t="str">
        <f aca="false">IF(AND(Tasks[[#This Row],[_IsLeaf]]=1,Tasks[[#This Row],[_LeafProgress]]&gt;=1),IF(N(Tasks[[#This Row],[Actual Finish]])&gt;0,Tasks[[#This Row],[Actual Finish]],Tasks[[#This Row],[_ShownFcstFinish]]),"")</f>
        <v/>
      </c>
      <c r="ET71" s="41" t="n">
        <f aca="false">IF(Tasks[[#This Row],[_IsLeaf]]=1,N(Tasks[[#This Row],[Story Points]]),0)</f>
        <v>0</v>
      </c>
      <c r="EU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29"/>
      <c r="O72" s="29"/>
      <c r="P72" s="29"/>
      <c r="Q72" s="29"/>
      <c r="R72" s="29"/>
      <c r="S72" s="29"/>
      <c r="T72" s="30"/>
      <c r="U72" s="75"/>
      <c r="V72" s="75"/>
      <c r="W72" s="25" t="str">
        <f aca="false">IF(Tasks[[#This Row],[Task Name]]="","",IF(N(Tasks[[#This Row],[Baseline Start]])&gt;0,Tasks[[#This Row],[Baseline Start]],Tasks[[#This Row],[_CalcStart]]))</f>
        <v/>
      </c>
      <c r="X72" s="25" t="str">
        <f aca="false">IF(Tasks[[#This Row],[Task Name]]="","",IF(N(Tasks[[#This Row],[Baseline Finish]])&gt;0,Tasks[[#This Row],[Baseline Finish]],Tasks[[#This Row],[_CalcFinish]]))</f>
        <v/>
      </c>
      <c r="Y72" s="75"/>
      <c r="Z72" s="75"/>
      <c r="AA72" s="25" t="str">
        <f aca="false">IF(Tasks[[#This Row],[Task Name]]="","",IF(Tasks[[#This Row],[_IsSummary]],MIN(INDEX(Tasks[_ShownFcstStart],Tasks[[#This Row],[_Row]]+1):INDEX(Tasks[_ShownFcstStart],Tasks[[#This Row],[_Row]]+Tasks[[#This Row],[_Descendants]])),Tasks[[#This Row],[_ShownFcstStart]]))</f>
        <v/>
      </c>
      <c r="AB72" s="25" t="str">
        <f aca="false">IF(Tasks[[#This Row],[Task Name]]="","",IF(Tasks[[#This Row],[_IsSummary]],MAX(INDEX(Tasks[_ShownFcstFinish],Tasks[[#This Row],[_Row]]+1):INDEX(Tasks[_ShownFcstFinish],Tasks[[#This Row],[_Row]]+Tasks[[#This Row],[_Descendants]])),Tasks[[#This Row],[_ShownFcstFinish]]))</f>
        <v/>
      </c>
      <c r="AC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2" s="25" t="str">
        <f aca="false">IF(Tasks[[#This Row],[Task Name]]="","",IF(Tasks[[#This Row],[_IsSummary]],MIN(INDEX(Tasks[_LeafLateStart],Tasks[[#This Row],[_Row]]+1):INDEX(Tasks[_LeafLateStart],Tasks[[#This Row],[_Row]]+Tasks[[#This Row],[_Descendants]])),Tasks[[#This Row],[_LeafLateStart]]))</f>
        <v/>
      </c>
      <c r="AF72" s="25" t="str">
        <f aca="false">IF(Tasks[[#This Row],[Task Name]]="","",IF(Tasks[[#This Row],[_IsSummary]],MAX(INDEX(Tasks[_LeafLateFinish],Tasks[[#This Row],[_Row]]+1):INDEX(Tasks[_LeafLateFinish],Tasks[[#This Row],[_Row]]+Tasks[[#This Row],[_Descendants]])),Tasks[[#This Row],[_LeafLateFinish]]))</f>
        <v/>
      </c>
      <c r="AG72" s="28" t="str">
        <f aca="false">IF(Tasks[[#This Row],[Task Name]]="","",IF(Tasks[[#This Row],[_IsSummary]],MIN(INDEX(Tasks[_LeafTotalSlack],Tasks[[#This Row],[_Row]]+1):INDEX(Tasks[_LeafTotalSlack],Tasks[[#This Row],[_Row]]+Tasks[[#This Row],[_Descendants]])),Tasks[[#This Row],[_LeafTotalSlack]]))</f>
        <v/>
      </c>
      <c r="AH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2" s="28" t="str">
        <f aca="false">IF(Tasks[[#This Row],[Task Name]]="","",IF(IF(Tasks[[#This Row],[_IsSummary]],COUNTIF(INDEX(Tasks[_LeafCritical],Tasks[[#This Row],[_Row]]+1):INDEX(Tasks[_LeafCritical],Tasks[[#This Row],[_Row]]+Tasks[[#This Row],[_Descendants]]),TRUE())&gt;0,Tasks[[#This Row],[_LeafCritical]]),"Yes",""))</f>
        <v/>
      </c>
      <c r="AJ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2" s="89"/>
      <c r="AM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2" s="28" t="str">
        <f aca="false">IF(Tasks[[#This Row],[Task Name]]="","",IF(Tasks[[#This Row],[Progress]]&gt;=1,"Complete",IF(OR(N(Tasks[[#This Row],[Actual Start]])&gt;0,Tasks[[#This Row],[Progress]]&gt;0),IF(Tasks[[#This Row],[Finish Var]]&gt;0,"Behind","In Progress"),IF(Tasks[[#This Row],[Planned Start]]&lt;StatusDate,"Late Start","Not Started"))))</f>
        <v/>
      </c>
      <c r="AO72" s="30"/>
      <c r="AP72" s="89"/>
      <c r="AQ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2" s="96" t="str">
        <f aca="false">IF(Tasks[[#This Row],[Task Name]]="","",IF(Tasks[[#This Row],[_IsSummary]],SUM(INDEX(Tasks[_LeafTotalWork],Tasks[[#This Row],[_Row]]+1):INDEX(Tasks[_LeafTotalWork],Tasks[[#This Row],[_Row]]+Tasks[[#This Row],[_Descendants]])),Tasks[[#This Row],[_LeafTotalWork]]))</f>
        <v/>
      </c>
      <c r="AT72" s="97" t="str">
        <f aca="false">IF(Tasks[[#This Row],[Task Name]]="","",IF(Tasks[[#This Row],[_IsSummary]],SUM(INDEX(Tasks[_LeafTotalCost],Tasks[[#This Row],[_Row]]+1):INDEX(Tasks[_LeafTotalCost],Tasks[[#This Row],[_Row]]+Tasks[[#This Row],[_Descendants]])),Tasks[[#This Row],[_LeafTotalCost]]))</f>
        <v/>
      </c>
      <c r="AU72" s="98"/>
      <c r="AV72" s="29"/>
      <c r="AW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2" s="83"/>
      <c r="AY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2" s="30"/>
      <c r="BA72" s="25" t="str">
        <f aca="false">IF(Tasks[[#This Row],[Task Name]]="","",Tasks[[#This Row],[Forecast Start]])</f>
        <v/>
      </c>
      <c r="BB72" s="25" t="str">
        <f aca="false">IF(Tasks[[#This Row],[Task Name]]="","",Tasks[[#This Row],[Forecast Finish]])</f>
        <v/>
      </c>
      <c r="BC72" s="28" t="str">
        <f aca="false">IF(Tasks[[#This Row],[Task Name]]="","",IF(Tasks[[#This Row],[_IsSummary]],NETWORKDAYS.INTL(Tasks[[#This Row],[Forecast Start]],Tasks[[#This Row],[Forecast Finish]],WorkWeek,Holidays),N(Tasks[[#This Row],[Duration]])))</f>
        <v/>
      </c>
      <c r="BD72" s="96" t="str">
        <f aca="false">IF(Tasks[[#This Row],[Task Name]]="","",Tasks[[#This Row],[Work]])</f>
        <v/>
      </c>
      <c r="BE72" s="97" t="str">
        <f aca="false">IF(Tasks[[#This Row],[Task Name]]="","",Tasks[[#This Row],[Cost]])</f>
        <v/>
      </c>
      <c r="BF72" s="75"/>
      <c r="BG72" s="75"/>
      <c r="BH72" s="29"/>
      <c r="BI72" s="99"/>
      <c r="BJ72" s="98"/>
      <c r="BK72" s="28" t="str">
        <f aca="false">IF(OR(Tasks[[#This Row],[Task Name]]="",Tasks[[#This Row],[Baseline Duration]]=""),"",Tasks[[#This Row],[BL Source Duration]]-N(Tasks[[#This Row],[Baseline Duration]]))</f>
        <v/>
      </c>
      <c r="BL72" s="96" t="str">
        <f aca="false">IF(OR(Tasks[[#This Row],[Task Name]]="",Tasks[[#This Row],[Baseline Work]]=""),"",Tasks[[#This Row],[Work]]-N(Tasks[[#This Row],[Baseline Work]]))</f>
        <v/>
      </c>
      <c r="BM72" s="97" t="str">
        <f aca="false">IF(OR(Tasks[[#This Row],[Task Name]]="",Tasks[[#This Row],[Baseline Cost]]=""),"",Tasks[[#This Row],[Cost]]-N(Tasks[[#This Row],[Baseline Cost]]))</f>
        <v/>
      </c>
      <c r="BN72" s="97" t="str">
        <f aca="false">IF(Tasks[[#This Row],[Task Name]]="","",IF(Tasks[[#This Row],[_IsSummary]],SUM(INDEX(Tasks[_LeafBudget],Tasks[[#This Row],[_Row]]+1):INDEX(Tasks[_LeafBudget],Tasks[[#This Row],[_Row]]+Tasks[[#This Row],[_Descendants]])),Tasks[[#This Row],[_LeafBudget]]))</f>
        <v/>
      </c>
      <c r="BO72" s="97" t="str">
        <f aca="false">IF(Tasks[[#This Row],[Task Name]]="","",IF(Tasks[[#This Row],[_IsSummary]],SUM(INDEX(Tasks[_LeafPV],Tasks[[#This Row],[_Row]]+1):INDEX(Tasks[_LeafPV],Tasks[[#This Row],[_Row]]+Tasks[[#This Row],[_Descendants]])),Tasks[[#This Row],[_LeafPV]]))</f>
        <v/>
      </c>
      <c r="BP72" s="97" t="str">
        <f aca="false">IF(Tasks[[#This Row],[Task Name]]="","",IF(Tasks[[#This Row],[_IsSummary]],SUM(INDEX(Tasks[_LeafEV],Tasks[[#This Row],[_Row]]+1):INDEX(Tasks[_LeafEV],Tasks[[#This Row],[_Row]]+Tasks[[#This Row],[_Descendants]])),Tasks[[#This Row],[_LeafEV]]))</f>
        <v/>
      </c>
      <c r="BQ72" s="97" t="str">
        <f aca="false">IF(Tasks[[#This Row],[Task Name]]="","",IF(Tasks[[#This Row],[_IsSummary]],SUM(INDEX(Tasks[_LeafAC],Tasks[[#This Row],[_Row]]+1):INDEX(Tasks[_LeafAC],Tasks[[#This Row],[_Row]]+Tasks[[#This Row],[_Descendants]])),Tasks[[#This Row],[_LeafAC]]))</f>
        <v/>
      </c>
      <c r="BR72" s="41" t="str">
        <f aca="false">IF(Tasks[[#This Row],[Task Name]]="","",MAX(1,N(Tasks[[#This Row],[Level]])))</f>
        <v/>
      </c>
      <c r="BS72" s="41" t="n">
        <f aca="false">ROW()-ROW(Tasks[[#Headers],[ID]])</f>
        <v>67</v>
      </c>
      <c r="BT72" s="41" t="n">
        <f aca="false">IF(OR(Tasks[[#This Row],[Task Name]]="",Tasks[[#This Row],[_Level]]&lt;=1),0,IFERROR(LOOKUP(2,1/(Tasks[[#Headers],[_Level]]:Tasks[[#This Row],[_Level]]=Tasks[[#This Row],[_Level]]-1),ROW(Tasks[[#Headers],[_Level]]:Tasks[[#This Row],[_Level]])),0))</f>
        <v>0</v>
      </c>
      <c r="BU72" s="41" t="n">
        <f aca="false">IFERROR(N(INDEX(Tasks[_Level],Tasks[[#This Row],[_Row]]+1)),0)</f>
        <v>0</v>
      </c>
      <c r="BV72" s="100" t="b">
        <f aca="false">AND(Tasks[[#This Row],[Task Name]]&lt;&gt;"",Tasks[[#This Row],[_NextLevel]]&gt;Tasks[[#This Row],[_Level]])</f>
        <v>0</v>
      </c>
      <c r="BW72" s="41" t="n">
        <f aca="false">IF(Tasks[[#This Row],[_IsSummary]],COUNTIF(Tasks[WBS],Tasks[[#This Row],[WBS]]&amp;".*"),0)</f>
        <v>0</v>
      </c>
      <c r="BX72" s="41" t="n">
        <f aca="false">IF(AND(Tasks[[#This Row],[Task Name]]&lt;&gt;"",NOT(Tasks[[#This Row],[_IsSummary]])),1,0)</f>
        <v>0</v>
      </c>
      <c r="BY72" s="41" t="n">
        <f aca="false">IF(N(Tasks[[#This Row],[Pred1 UID]])=0,0,IFERROR(MATCH(Tasks[[#This Row],[Pred1 UID]],Tasks[UID],0),-1))</f>
        <v>0</v>
      </c>
      <c r="BZ72" s="41" t="n">
        <f aca="false">IF(N(Tasks[[#This Row],[Pred2 UID]])=0,0,IFERROR(MATCH(Tasks[[#This Row],[Pred2 UID]],Tasks[UID],0),-1))</f>
        <v>0</v>
      </c>
      <c r="CA72" s="41" t="n">
        <f aca="false">IF(N(Tasks[[#This Row],[Pred3 UID]])=0,0,IFERROR(MATCH(Tasks[[#This Row],[Pred3 UID]],Tasks[UID],0),-1))</f>
        <v>0</v>
      </c>
      <c r="CB72" s="41" t="n">
        <f aca="false">IF(N(Tasks[[#This Row],[Pred4 UID]])=0,0,IFERROR(MATCH(Tasks[[#This Row],[Pred4 UID]],Tasks[UID],0),-1))</f>
        <v>0</v>
      </c>
      <c r="CC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2" s="101" t="n">
        <f aca="false">IF(OR(Tasks[[#This Row],[_ConstraintCode]]=2,Tasks[[#This Row],[_ConstraintCode]]=3,Tasks[[#This Row],[_ConstraintCode]]=4,Tasks[[#This Row],[_ConstraintCode]]=6),Tasks[[#This Row],[_ConstraintStart]],0)</f>
        <v>0</v>
      </c>
      <c r="CF72" s="101" t="n">
        <f aca="false">IF(OR(Tasks[[#This Row],[_ConstraintCode]]=2,Tasks[[#This Row],[_ConstraintCode]]=3,Tasks[[#This Row],[_ConstraintCode]]=5,Tasks[[#This Row],[_ConstraintCode]]=7),Tasks[[#This Row],[_ConstraintStart]],2958465)</f>
        <v>2958465</v>
      </c>
      <c r="CG7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2" s="101" t="str">
        <f aca="false">IF(NOT(Tasks[[#This Row],[_IsLeaf]]=1),"",IF(N(Tasks[[#This Row],[Duration]])&lt;=0,Tasks[[#This Row],[_LeafCalcStart]],WORKDAY.INTL(Tasks[[#This Row],[_LeafCalcStart]],Tasks[[#This Row],[Duration]]-1,WorkWeek,Holidays)))</f>
        <v/>
      </c>
      <c r="CI7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2" s="41" t="n">
        <f aca="false">IF(NOT(Tasks[[#This Row],[_IsLeaf]]=1),0,IF(N(Tasks[[#This Row],[Actual Finish]])&gt;0,1,MIN(1,N(Tasks[[#This Row],[% Complete]]))))</f>
        <v>0</v>
      </c>
      <c r="CL72" s="41" t="n">
        <f aca="false">IF(OR(NOT(Tasks[[#This Row],[_IsLeaf]]=1),Tasks[[#This Row],[Resource]]=""),0,N(Tasks[[#This Row],[Duration]])*HoursPerDay*IF(Tasks[[#This Row],[Units]]="",DefaultUnits,Tasks[[#This Row],[Units]]))</f>
        <v>0</v>
      </c>
      <c r="CM72" s="41" t="n">
        <f aca="false">IF(Tasks[[#This Row],[_LeafWork]]=0,0,Tasks[[#This Row],[_LeafWork]]*IFERROR(INDEX(res_Rate,MATCH(Tasks[[#This Row],[Resource]],res_Name,0)),0))</f>
        <v>0</v>
      </c>
      <c r="CN72" s="41" t="n">
        <f aca="false">Tasks[[#This Row],[_LeafWork]]+IF(Tasks[[#This Row],[_IsLeaf]]=1,SUMIFS(asg_Work,asg_TaskUID,Tasks[[#This Row],[UID]],asg_Valid,1),0)</f>
        <v>0</v>
      </c>
      <c r="CO72" s="41" t="n">
        <f aca="false">Tasks[[#This Row],[_LeafCost]]+IF(Tasks[[#This Row],[_IsLeaf]]=1,SUMIFS(asg_Cost,asg_TaskUID,Tasks[[#This Row],[UID]],asg_Valid,1),0)</f>
        <v>0</v>
      </c>
      <c r="CP72" s="41" t="n">
        <f aca="false">IF(Tasks[[#This Row],[_LeafTotalCost]]=0,Tasks[[#This Row],[_LeafAC]],Tasks[[#This Row],[_LeafAC]]*Tasks[[#This Row],[_LeafCost]]/Tasks[[#This Row],[_LeafTotalCost]])</f>
        <v>0</v>
      </c>
      <c r="CQ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2" s="41" t="n">
        <f aca="false">IF(NOT(Tasks[[#This Row],[_IsLeaf]]=1),0,MAX(_xlfn.MAXIFS(Tasks[_Row],Tasks[Pred1 UID],Tasks[[#This Row],[UID]]),_xlfn.MAXIFS(Tasks[_Row],Tasks[Pred2 UID],Tasks[[#This Row],[UID]]),_xlfn.MAXIFS(Tasks[_Row],Tasks[Pred3 UID],Tasks[[#This Row],[UID]]),_xlfn.MAXIFS(Tasks[_Row],Tasks[Pred4 UID],Tasks[[#This Row],[UID]])))</f>
        <v>0</v>
      </c>
      <c r="CZ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2" s="101" t="str">
        <f aca="false">IF(NOT(Tasks[[#This Row],[_IsLeaf]]=1),"",IF(N(Tasks[[#This Row],[Duration]])&lt;=0,Tasks[[#This Row],[_LeafLateFinish]],WORKDAY.INTL(Tasks[[#This Row],[_LeafLateFinish]],-(Tasks[[#This Row],[Duration]]-1),WorkWeek,Holidays)))</f>
        <v/>
      </c>
      <c r="DC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2" s="100" t="b">
        <f aca="false">AND(Tasks[[#This Row],[_IsLeaf]]=1,Tasks[[#This Row],[_LeafProgress]]&lt;1,N(Tasks[[#This Row],[_LeafTotalSlack]])&lt;=CriticalSlackDays)</f>
        <v>0</v>
      </c>
      <c r="DE72" s="41" t="n">
        <f aca="false">IF(AND(Tasks[[#This Row],[_IsLeaf]]=1,Tasks[[#This Row],[_ConstraintCode]]=1,Tasks[[#This Row],[Mode]]&lt;&gt;"Manual",N(Tasks[[#This Row],[Actual Start]])=0),MAX(0,N(Tasks[[#This Row],[Free Slack]])),0)</f>
        <v>0</v>
      </c>
      <c r="DF72" s="101" t="str">
        <f aca="false">IF(NOT(Tasks[[#This Row],[_IsLeaf]]=1),"",IF(Tasks[[#This Row],[_AlapShift]]=0,Tasks[[#This Row],[_LeafCalcStart]],WORKDAY.INTL(Tasks[[#This Row],[_LeafCalcStart]],Tasks[[#This Row],[_AlapShift]],WorkWeek,Holidays)))</f>
        <v/>
      </c>
      <c r="DG72" s="101" t="str">
        <f aca="false">IF(NOT(Tasks[[#This Row],[_IsLeaf]]=1),"",IF(Tasks[[#This Row],[_AlapShift]]=0,Tasks[[#This Row],[_LeafCalcFinish]],WORKDAY.INTL(Tasks[[#This Row],[_LeafCalcFinish]],Tasks[[#This Row],[_AlapShift]],WorkWeek,Holidays)))</f>
        <v/>
      </c>
      <c r="DH72" s="101" t="str">
        <f aca="false">IF(NOT(Tasks[[#This Row],[_IsLeaf]]=1),"",IF(Tasks[[#This Row],[_AlapShift]]=0,Tasks[[#This Row],[_LeafFcstStart]],WORKDAY.INTL(Tasks[[#This Row],[_LeafFcstStart]],Tasks[[#This Row],[_AlapShift]],WorkWeek,Holidays)))</f>
        <v/>
      </c>
      <c r="DI72" s="101" t="str">
        <f aca="false">IF(NOT(Tasks[[#This Row],[_IsLeaf]]=1),"",IF(Tasks[[#This Row],[_AlapShift]]=0,Tasks[[#This Row],[_LeafFcstFinish]],WORKDAY.INTL(Tasks[[#This Row],[_LeafFcstFinish]],Tasks[[#This Row],[_AlapShift]],WorkWeek,Holidays)))</f>
        <v/>
      </c>
      <c r="DJ72" s="101" t="str">
        <f aca="false">IF(Tasks[[#This Row],[Task Name]]="","",IF(Tasks[[#This Row],[_IsSummary]],MIN(INDEX(Tasks[_ShownCalcStart],Tasks[[#This Row],[_Row]]+1):INDEX(Tasks[_ShownCalcStart],Tasks[[#This Row],[_Row]]+Tasks[[#This Row],[_Descendants]])),Tasks[[#This Row],[_ShownCalcStart]]))</f>
        <v/>
      </c>
      <c r="DK72" s="101" t="str">
        <f aca="false">IF(Tasks[[#This Row],[Task Name]]="","",IF(Tasks[[#This Row],[_IsSummary]],MAX(INDEX(Tasks[_ShownCalcFinish],Tasks[[#This Row],[_Row]]+1):INDEX(Tasks[_ShownCalcFinish],Tasks[[#This Row],[_Row]]+Tasks[[#This Row],[_Descendants]])),Tasks[[#This Row],[_ShownCalcFinish]]))</f>
        <v/>
      </c>
      <c r="D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2" s="41" t="n">
        <f aca="false">IF(AND(Tasks[[#This Row],[_IsLeaf]]=1,Tasks[[#This Row],[_LeafTotalWork]]&gt;0),NETWORKDAYS.INTL(ProjectStart,Tasks[[#This Row],[_ShownFcstStart]],WorkWeek,Holidays),0)</f>
        <v>0</v>
      </c>
      <c r="DY72" s="41" t="n">
        <f aca="false">IF(AND(Tasks[[#This Row],[_IsLeaf]]=1,Tasks[[#This Row],[_LeafTotalWork]]&gt;0),MAX(Tasks[[#This Row],[_StartWorkday]],NETWORKDAYS.INTL(ProjectStart,Tasks[[#This Row],[_ShownFcstFinish]],WorkWeek,Holidays)),0)</f>
        <v>0</v>
      </c>
      <c r="DZ72" s="41" t="n">
        <f aca="false">IF(AND(Tasks[[#This Row],[_IsLeaf]]=1,Tasks[[#This Row],[_LeafTotalWork]]&gt;0),Tasks[[#This Row],[_LeafWork]]/(Tasks[[#This Row],[_FinishWorkday]]-Tasks[[#This Row],[_StartWorkday]]+1),0)</f>
        <v>0</v>
      </c>
      <c r="EA72" s="41" t="n">
        <f aca="false">Tasks[[#This Row],[_WorkPerWorkday]]*(Tasks[[#This Row],[_StartWorkday]]-1)</f>
        <v>-0</v>
      </c>
      <c r="EB72" s="41" t="n">
        <f aca="false">IF(Tasks[[#This Row],[_IsLeaf]]=1,MAX(N(Tasks[[#This Row],[Duration]]),0.1),0)</f>
        <v>0</v>
      </c>
      <c r="EC72" s="41" t="n">
        <f aca="false">Tasks[[#This Row],[_WeightDur]]*Tasks[[#This Row],[_LeafProgress]]</f>
        <v>0</v>
      </c>
      <c r="ED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2" s="41" t="str">
        <f aca="false">IF(AND(Tasks[[#This Row],[_IsLeaf]]=1,N(Tasks[[#This Row],[Duration]])=0,Tasks[[#This Row],[_LeafProgress]]&lt;1),Tasks[[#This Row],[_ShownFcstFinish]]+Tasks[[#This Row],[_Row]]/100000,"")</f>
        <v/>
      </c>
      <c r="EF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2" s="41" t="n">
        <f aca="false">IF(NOT(Tasks[[#This Row],[_IsLeaf]]=1),0,IF(Tasks[[#This Row],[Baseline Cost]]="",Tasks[[#This Row],[_LeafTotalCost]],N(Tasks[[#This Row],[Baseline Cost]])))</f>
        <v>0</v>
      </c>
      <c r="EH72" s="41" t="n">
        <f aca="false">Tasks[[#This Row],[_LeafBudget]]*Tasks[[#This Row],[_PlannedPct]]</f>
        <v>0</v>
      </c>
      <c r="EI72" s="41" t="n">
        <f aca="false">Tasks[[#This Row],[_LeafBudget]]*Tasks[[#This Row],[_LeafProgress]]</f>
        <v>0</v>
      </c>
      <c r="EJ72" s="41" t="n">
        <f aca="false">IF(NOT(Tasks[[#This Row],[_IsLeaf]]=1),0,IF(Tasks[[#This Row],[Actual Cost]]="",Tasks[[#This Row],[_LeafTotalCost]]*Tasks[[#This Row],[_LeafProgress]],N(Tasks[[#This Row],[Actual Cost]])))</f>
        <v>0</v>
      </c>
      <c r="EK72" s="41" t="str">
        <f aca="false">IF(Tasks[[#This Row],[Task Name]]="","",LEFT(Tasks[[#This Row],[WBS]],FIND(".",Tasks[[#This Row],[WBS]]&amp;".")-1))</f>
        <v/>
      </c>
      <c r="EL72" s="41" t="str">
        <f aca="false">IF(AND(Tasks[[#This Row],[Task Name]]&lt;&gt;"",Tasks[[#This Row],[_Level]]=1),Tasks[[#This Row],[_Row]],"")</f>
        <v/>
      </c>
      <c r="EM72" s="41" t="str">
        <f aca="false">IF(AND(Tasks[[#This Row],[_IsLeaf]]=1,N(Tasks[[#This Row],[Duration]])=0),Tasks[[#This Row],[Planned Finish]]+Tasks[[#This Row],[_Row]]/100000,"")</f>
        <v/>
      </c>
      <c r="EN72" s="41" t="str">
        <f aca="false">IF(AND(Tasks[[#This Row],[_IsLeaf]]=1,Tasks[[#This Row],[_LeafProgress]]&lt;1,OR(N(Tasks[[#This Row],[Finish Var]])&gt;0,Tasks[[#This Row],[Status]]="Late Start")),MAX(0,Tasks[[#This Row],[Finish Var]])+1-Tasks[[#This Row],[_Row]]/1000000,"")</f>
        <v/>
      </c>
      <c r="EO72" s="41" t="str">
        <f aca="false">IF(AND(Tasks[[#This Row],[_IsLeaf]]=1,N(Tasks[[#This Row],[Actual Start]])=0,Tasks[[#This Row],[_ShownFcstStart]]&gt;=StatusDate,Tasks[[#This Row],[_ShownFcstStart]]&lt;=LookaheadEnd),Tasks[[#This Row],[_ShownFcstStart]]+Tasks[[#This Row],[_Row]]/100000,"")</f>
        <v/>
      </c>
      <c r="EP72" s="41" t="str">
        <f aca="false">IF(AND(Tasks[[#This Row],[_IsLeaf]]=1,Tasks[[#This Row],[_LeafProgress]]&lt;1,Tasks[[#This Row],[_ShownFcstFinish]]&gt;=StatusDate,Tasks[[#This Row],[_ShownFcstFinish]]&lt;=LookaheadEnd),Tasks[[#This Row],[_ShownFcstFinish]]+Tasks[[#This Row],[_Row]]/100000,"")</f>
        <v/>
      </c>
      <c r="EQ72" s="41" t="str">
        <f aca="false">IF(Tasks[[#This Row],[_LeafCritical]],Tasks[[#This Row],[_ShownFcstStart]]+Tasks[[#This Row],[_Row]]/100000,"")</f>
        <v/>
      </c>
      <c r="ER72" s="41" t="n">
        <f aca="false">Tasks[[#This Row],[_LeafWork]]*Tasks[[#This Row],[_LeafProgress]]</f>
        <v>0</v>
      </c>
      <c r="ES72" s="101" t="str">
        <f aca="false">IF(AND(Tasks[[#This Row],[_IsLeaf]]=1,Tasks[[#This Row],[_LeafProgress]]&gt;=1),IF(N(Tasks[[#This Row],[Actual Finish]])&gt;0,Tasks[[#This Row],[Actual Finish]],Tasks[[#This Row],[_ShownFcstFinish]]),"")</f>
        <v/>
      </c>
      <c r="ET72" s="41" t="n">
        <f aca="false">IF(Tasks[[#This Row],[_IsLeaf]]=1,N(Tasks[[#This Row],[Story Points]]),0)</f>
        <v>0</v>
      </c>
      <c r="EU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29"/>
      <c r="O73" s="29"/>
      <c r="P73" s="29"/>
      <c r="Q73" s="29"/>
      <c r="R73" s="29"/>
      <c r="S73" s="29"/>
      <c r="T73" s="30"/>
      <c r="U73" s="75"/>
      <c r="V73" s="75"/>
      <c r="W73" s="25" t="str">
        <f aca="false">IF(Tasks[[#This Row],[Task Name]]="","",IF(N(Tasks[[#This Row],[Baseline Start]])&gt;0,Tasks[[#This Row],[Baseline Start]],Tasks[[#This Row],[_CalcStart]]))</f>
        <v/>
      </c>
      <c r="X73" s="25" t="str">
        <f aca="false">IF(Tasks[[#This Row],[Task Name]]="","",IF(N(Tasks[[#This Row],[Baseline Finish]])&gt;0,Tasks[[#This Row],[Baseline Finish]],Tasks[[#This Row],[_CalcFinish]]))</f>
        <v/>
      </c>
      <c r="Y73" s="75"/>
      <c r="Z73" s="75"/>
      <c r="AA73" s="25" t="str">
        <f aca="false">IF(Tasks[[#This Row],[Task Name]]="","",IF(Tasks[[#This Row],[_IsSummary]],MIN(INDEX(Tasks[_ShownFcstStart],Tasks[[#This Row],[_Row]]+1):INDEX(Tasks[_ShownFcstStart],Tasks[[#This Row],[_Row]]+Tasks[[#This Row],[_Descendants]])),Tasks[[#This Row],[_ShownFcstStart]]))</f>
        <v/>
      </c>
      <c r="AB73" s="25" t="str">
        <f aca="false">IF(Tasks[[#This Row],[Task Name]]="","",IF(Tasks[[#This Row],[_IsSummary]],MAX(INDEX(Tasks[_ShownFcstFinish],Tasks[[#This Row],[_Row]]+1):INDEX(Tasks[_ShownFcstFinish],Tasks[[#This Row],[_Row]]+Tasks[[#This Row],[_Descendants]])),Tasks[[#This Row],[_ShownFcstFinish]]))</f>
        <v/>
      </c>
      <c r="AC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3" s="25" t="str">
        <f aca="false">IF(Tasks[[#This Row],[Task Name]]="","",IF(Tasks[[#This Row],[_IsSummary]],MIN(INDEX(Tasks[_LeafLateStart],Tasks[[#This Row],[_Row]]+1):INDEX(Tasks[_LeafLateStart],Tasks[[#This Row],[_Row]]+Tasks[[#This Row],[_Descendants]])),Tasks[[#This Row],[_LeafLateStart]]))</f>
        <v/>
      </c>
      <c r="AF73" s="25" t="str">
        <f aca="false">IF(Tasks[[#This Row],[Task Name]]="","",IF(Tasks[[#This Row],[_IsSummary]],MAX(INDEX(Tasks[_LeafLateFinish],Tasks[[#This Row],[_Row]]+1):INDEX(Tasks[_LeafLateFinish],Tasks[[#This Row],[_Row]]+Tasks[[#This Row],[_Descendants]])),Tasks[[#This Row],[_LeafLateFinish]]))</f>
        <v/>
      </c>
      <c r="AG73" s="28" t="str">
        <f aca="false">IF(Tasks[[#This Row],[Task Name]]="","",IF(Tasks[[#This Row],[_IsSummary]],MIN(INDEX(Tasks[_LeafTotalSlack],Tasks[[#This Row],[_Row]]+1):INDEX(Tasks[_LeafTotalSlack],Tasks[[#This Row],[_Row]]+Tasks[[#This Row],[_Descendants]])),Tasks[[#This Row],[_LeafTotalSlack]]))</f>
        <v/>
      </c>
      <c r="AH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3" s="28" t="str">
        <f aca="false">IF(Tasks[[#This Row],[Task Name]]="","",IF(IF(Tasks[[#This Row],[_IsSummary]],COUNTIF(INDEX(Tasks[_LeafCritical],Tasks[[#This Row],[_Row]]+1):INDEX(Tasks[_LeafCritical],Tasks[[#This Row],[_Row]]+Tasks[[#This Row],[_Descendants]]),TRUE())&gt;0,Tasks[[#This Row],[_LeafCritical]]),"Yes",""))</f>
        <v/>
      </c>
      <c r="AJ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3" s="89"/>
      <c r="AM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3" s="28" t="str">
        <f aca="false">IF(Tasks[[#This Row],[Task Name]]="","",IF(Tasks[[#This Row],[Progress]]&gt;=1,"Complete",IF(OR(N(Tasks[[#This Row],[Actual Start]])&gt;0,Tasks[[#This Row],[Progress]]&gt;0),IF(Tasks[[#This Row],[Finish Var]]&gt;0,"Behind","In Progress"),IF(Tasks[[#This Row],[Planned Start]]&lt;StatusDate,"Late Start","Not Started"))))</f>
        <v/>
      </c>
      <c r="AO73" s="30"/>
      <c r="AP73" s="89"/>
      <c r="AQ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3" s="96" t="str">
        <f aca="false">IF(Tasks[[#This Row],[Task Name]]="","",IF(Tasks[[#This Row],[_IsSummary]],SUM(INDEX(Tasks[_LeafTotalWork],Tasks[[#This Row],[_Row]]+1):INDEX(Tasks[_LeafTotalWork],Tasks[[#This Row],[_Row]]+Tasks[[#This Row],[_Descendants]])),Tasks[[#This Row],[_LeafTotalWork]]))</f>
        <v/>
      </c>
      <c r="AT73" s="97" t="str">
        <f aca="false">IF(Tasks[[#This Row],[Task Name]]="","",IF(Tasks[[#This Row],[_IsSummary]],SUM(INDEX(Tasks[_LeafTotalCost],Tasks[[#This Row],[_Row]]+1):INDEX(Tasks[_LeafTotalCost],Tasks[[#This Row],[_Row]]+Tasks[[#This Row],[_Descendants]])),Tasks[[#This Row],[_LeafTotalCost]]))</f>
        <v/>
      </c>
      <c r="AU73" s="98"/>
      <c r="AV73" s="29"/>
      <c r="AW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3" s="83"/>
      <c r="AY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3" s="30"/>
      <c r="BA73" s="25" t="str">
        <f aca="false">IF(Tasks[[#This Row],[Task Name]]="","",Tasks[[#This Row],[Forecast Start]])</f>
        <v/>
      </c>
      <c r="BB73" s="25" t="str">
        <f aca="false">IF(Tasks[[#This Row],[Task Name]]="","",Tasks[[#This Row],[Forecast Finish]])</f>
        <v/>
      </c>
      <c r="BC73" s="28" t="str">
        <f aca="false">IF(Tasks[[#This Row],[Task Name]]="","",IF(Tasks[[#This Row],[_IsSummary]],NETWORKDAYS.INTL(Tasks[[#This Row],[Forecast Start]],Tasks[[#This Row],[Forecast Finish]],WorkWeek,Holidays),N(Tasks[[#This Row],[Duration]])))</f>
        <v/>
      </c>
      <c r="BD73" s="96" t="str">
        <f aca="false">IF(Tasks[[#This Row],[Task Name]]="","",Tasks[[#This Row],[Work]])</f>
        <v/>
      </c>
      <c r="BE73" s="97" t="str">
        <f aca="false">IF(Tasks[[#This Row],[Task Name]]="","",Tasks[[#This Row],[Cost]])</f>
        <v/>
      </c>
      <c r="BF73" s="75"/>
      <c r="BG73" s="75"/>
      <c r="BH73" s="29"/>
      <c r="BI73" s="99"/>
      <c r="BJ73" s="98"/>
      <c r="BK73" s="28" t="str">
        <f aca="false">IF(OR(Tasks[[#This Row],[Task Name]]="",Tasks[[#This Row],[Baseline Duration]]=""),"",Tasks[[#This Row],[BL Source Duration]]-N(Tasks[[#This Row],[Baseline Duration]]))</f>
        <v/>
      </c>
      <c r="BL73" s="96" t="str">
        <f aca="false">IF(OR(Tasks[[#This Row],[Task Name]]="",Tasks[[#This Row],[Baseline Work]]=""),"",Tasks[[#This Row],[Work]]-N(Tasks[[#This Row],[Baseline Work]]))</f>
        <v/>
      </c>
      <c r="BM73" s="97" t="str">
        <f aca="false">IF(OR(Tasks[[#This Row],[Task Name]]="",Tasks[[#This Row],[Baseline Cost]]=""),"",Tasks[[#This Row],[Cost]]-N(Tasks[[#This Row],[Baseline Cost]]))</f>
        <v/>
      </c>
      <c r="BN73" s="97" t="str">
        <f aca="false">IF(Tasks[[#This Row],[Task Name]]="","",IF(Tasks[[#This Row],[_IsSummary]],SUM(INDEX(Tasks[_LeafBudget],Tasks[[#This Row],[_Row]]+1):INDEX(Tasks[_LeafBudget],Tasks[[#This Row],[_Row]]+Tasks[[#This Row],[_Descendants]])),Tasks[[#This Row],[_LeafBudget]]))</f>
        <v/>
      </c>
      <c r="BO73" s="97" t="str">
        <f aca="false">IF(Tasks[[#This Row],[Task Name]]="","",IF(Tasks[[#This Row],[_IsSummary]],SUM(INDEX(Tasks[_LeafPV],Tasks[[#This Row],[_Row]]+1):INDEX(Tasks[_LeafPV],Tasks[[#This Row],[_Row]]+Tasks[[#This Row],[_Descendants]])),Tasks[[#This Row],[_LeafPV]]))</f>
        <v/>
      </c>
      <c r="BP73" s="97" t="str">
        <f aca="false">IF(Tasks[[#This Row],[Task Name]]="","",IF(Tasks[[#This Row],[_IsSummary]],SUM(INDEX(Tasks[_LeafEV],Tasks[[#This Row],[_Row]]+1):INDEX(Tasks[_LeafEV],Tasks[[#This Row],[_Row]]+Tasks[[#This Row],[_Descendants]])),Tasks[[#This Row],[_LeafEV]]))</f>
        <v/>
      </c>
      <c r="BQ73" s="97" t="str">
        <f aca="false">IF(Tasks[[#This Row],[Task Name]]="","",IF(Tasks[[#This Row],[_IsSummary]],SUM(INDEX(Tasks[_LeafAC],Tasks[[#This Row],[_Row]]+1):INDEX(Tasks[_LeafAC],Tasks[[#This Row],[_Row]]+Tasks[[#This Row],[_Descendants]])),Tasks[[#This Row],[_LeafAC]]))</f>
        <v/>
      </c>
      <c r="BR73" s="41" t="str">
        <f aca="false">IF(Tasks[[#This Row],[Task Name]]="","",MAX(1,N(Tasks[[#This Row],[Level]])))</f>
        <v/>
      </c>
      <c r="BS73" s="41" t="n">
        <f aca="false">ROW()-ROW(Tasks[[#Headers],[ID]])</f>
        <v>68</v>
      </c>
      <c r="BT73" s="41" t="n">
        <f aca="false">IF(OR(Tasks[[#This Row],[Task Name]]="",Tasks[[#This Row],[_Level]]&lt;=1),0,IFERROR(LOOKUP(2,1/(Tasks[[#Headers],[_Level]]:Tasks[[#This Row],[_Level]]=Tasks[[#This Row],[_Level]]-1),ROW(Tasks[[#Headers],[_Level]]:Tasks[[#This Row],[_Level]])),0))</f>
        <v>0</v>
      </c>
      <c r="BU73" s="41" t="n">
        <f aca="false">IFERROR(N(INDEX(Tasks[_Level],Tasks[[#This Row],[_Row]]+1)),0)</f>
        <v>0</v>
      </c>
      <c r="BV73" s="100" t="b">
        <f aca="false">AND(Tasks[[#This Row],[Task Name]]&lt;&gt;"",Tasks[[#This Row],[_NextLevel]]&gt;Tasks[[#This Row],[_Level]])</f>
        <v>0</v>
      </c>
      <c r="BW73" s="41" t="n">
        <f aca="false">IF(Tasks[[#This Row],[_IsSummary]],COUNTIF(Tasks[WBS],Tasks[[#This Row],[WBS]]&amp;".*"),0)</f>
        <v>0</v>
      </c>
      <c r="BX73" s="41" t="n">
        <f aca="false">IF(AND(Tasks[[#This Row],[Task Name]]&lt;&gt;"",NOT(Tasks[[#This Row],[_IsSummary]])),1,0)</f>
        <v>0</v>
      </c>
      <c r="BY73" s="41" t="n">
        <f aca="false">IF(N(Tasks[[#This Row],[Pred1 UID]])=0,0,IFERROR(MATCH(Tasks[[#This Row],[Pred1 UID]],Tasks[UID],0),-1))</f>
        <v>0</v>
      </c>
      <c r="BZ73" s="41" t="n">
        <f aca="false">IF(N(Tasks[[#This Row],[Pred2 UID]])=0,0,IFERROR(MATCH(Tasks[[#This Row],[Pred2 UID]],Tasks[UID],0),-1))</f>
        <v>0</v>
      </c>
      <c r="CA73" s="41" t="n">
        <f aca="false">IF(N(Tasks[[#This Row],[Pred3 UID]])=0,0,IFERROR(MATCH(Tasks[[#This Row],[Pred3 UID]],Tasks[UID],0),-1))</f>
        <v>0</v>
      </c>
      <c r="CB73" s="41" t="n">
        <f aca="false">IF(N(Tasks[[#This Row],[Pred4 UID]])=0,0,IFERROR(MATCH(Tasks[[#This Row],[Pred4 UID]],Tasks[UID],0),-1))</f>
        <v>0</v>
      </c>
      <c r="CC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3" s="101" t="n">
        <f aca="false">IF(OR(Tasks[[#This Row],[_ConstraintCode]]=2,Tasks[[#This Row],[_ConstraintCode]]=3,Tasks[[#This Row],[_ConstraintCode]]=4,Tasks[[#This Row],[_ConstraintCode]]=6),Tasks[[#This Row],[_ConstraintStart]],0)</f>
        <v>0</v>
      </c>
      <c r="CF73" s="101" t="n">
        <f aca="false">IF(OR(Tasks[[#This Row],[_ConstraintCode]]=2,Tasks[[#This Row],[_ConstraintCode]]=3,Tasks[[#This Row],[_ConstraintCode]]=5,Tasks[[#This Row],[_ConstraintCode]]=7),Tasks[[#This Row],[_ConstraintStart]],2958465)</f>
        <v>2958465</v>
      </c>
      <c r="CG7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3" s="101" t="str">
        <f aca="false">IF(NOT(Tasks[[#This Row],[_IsLeaf]]=1),"",IF(N(Tasks[[#This Row],[Duration]])&lt;=0,Tasks[[#This Row],[_LeafCalcStart]],WORKDAY.INTL(Tasks[[#This Row],[_LeafCalcStart]],Tasks[[#This Row],[Duration]]-1,WorkWeek,Holidays)))</f>
        <v/>
      </c>
      <c r="CI7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3" s="41" t="n">
        <f aca="false">IF(NOT(Tasks[[#This Row],[_IsLeaf]]=1),0,IF(N(Tasks[[#This Row],[Actual Finish]])&gt;0,1,MIN(1,N(Tasks[[#This Row],[% Complete]]))))</f>
        <v>0</v>
      </c>
      <c r="CL73" s="41" t="n">
        <f aca="false">IF(OR(NOT(Tasks[[#This Row],[_IsLeaf]]=1),Tasks[[#This Row],[Resource]]=""),0,N(Tasks[[#This Row],[Duration]])*HoursPerDay*IF(Tasks[[#This Row],[Units]]="",DefaultUnits,Tasks[[#This Row],[Units]]))</f>
        <v>0</v>
      </c>
      <c r="CM73" s="41" t="n">
        <f aca="false">IF(Tasks[[#This Row],[_LeafWork]]=0,0,Tasks[[#This Row],[_LeafWork]]*IFERROR(INDEX(res_Rate,MATCH(Tasks[[#This Row],[Resource]],res_Name,0)),0))</f>
        <v>0</v>
      </c>
      <c r="CN73" s="41" t="n">
        <f aca="false">Tasks[[#This Row],[_LeafWork]]+IF(Tasks[[#This Row],[_IsLeaf]]=1,SUMIFS(asg_Work,asg_TaskUID,Tasks[[#This Row],[UID]],asg_Valid,1),0)</f>
        <v>0</v>
      </c>
      <c r="CO73" s="41" t="n">
        <f aca="false">Tasks[[#This Row],[_LeafCost]]+IF(Tasks[[#This Row],[_IsLeaf]]=1,SUMIFS(asg_Cost,asg_TaskUID,Tasks[[#This Row],[UID]],asg_Valid,1),0)</f>
        <v>0</v>
      </c>
      <c r="CP73" s="41" t="n">
        <f aca="false">IF(Tasks[[#This Row],[_LeafTotalCost]]=0,Tasks[[#This Row],[_LeafAC]],Tasks[[#This Row],[_LeafAC]]*Tasks[[#This Row],[_LeafCost]]/Tasks[[#This Row],[_LeafTotalCost]])</f>
        <v>0</v>
      </c>
      <c r="CQ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3" s="41" t="n">
        <f aca="false">IF(NOT(Tasks[[#This Row],[_IsLeaf]]=1),0,MAX(_xlfn.MAXIFS(Tasks[_Row],Tasks[Pred1 UID],Tasks[[#This Row],[UID]]),_xlfn.MAXIFS(Tasks[_Row],Tasks[Pred2 UID],Tasks[[#This Row],[UID]]),_xlfn.MAXIFS(Tasks[_Row],Tasks[Pred3 UID],Tasks[[#This Row],[UID]]),_xlfn.MAXIFS(Tasks[_Row],Tasks[Pred4 UID],Tasks[[#This Row],[UID]])))</f>
        <v>0</v>
      </c>
      <c r="CZ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3" s="101" t="str">
        <f aca="false">IF(NOT(Tasks[[#This Row],[_IsLeaf]]=1),"",IF(N(Tasks[[#This Row],[Duration]])&lt;=0,Tasks[[#This Row],[_LeafLateFinish]],WORKDAY.INTL(Tasks[[#This Row],[_LeafLateFinish]],-(Tasks[[#This Row],[Duration]]-1),WorkWeek,Holidays)))</f>
        <v/>
      </c>
      <c r="DC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3" s="100" t="b">
        <f aca="false">AND(Tasks[[#This Row],[_IsLeaf]]=1,Tasks[[#This Row],[_LeafProgress]]&lt;1,N(Tasks[[#This Row],[_LeafTotalSlack]])&lt;=CriticalSlackDays)</f>
        <v>0</v>
      </c>
      <c r="DE73" s="41" t="n">
        <f aca="false">IF(AND(Tasks[[#This Row],[_IsLeaf]]=1,Tasks[[#This Row],[_ConstraintCode]]=1,Tasks[[#This Row],[Mode]]&lt;&gt;"Manual",N(Tasks[[#This Row],[Actual Start]])=0),MAX(0,N(Tasks[[#This Row],[Free Slack]])),0)</f>
        <v>0</v>
      </c>
      <c r="DF73" s="101" t="str">
        <f aca="false">IF(NOT(Tasks[[#This Row],[_IsLeaf]]=1),"",IF(Tasks[[#This Row],[_AlapShift]]=0,Tasks[[#This Row],[_LeafCalcStart]],WORKDAY.INTL(Tasks[[#This Row],[_LeafCalcStart]],Tasks[[#This Row],[_AlapShift]],WorkWeek,Holidays)))</f>
        <v/>
      </c>
      <c r="DG73" s="101" t="str">
        <f aca="false">IF(NOT(Tasks[[#This Row],[_IsLeaf]]=1),"",IF(Tasks[[#This Row],[_AlapShift]]=0,Tasks[[#This Row],[_LeafCalcFinish]],WORKDAY.INTL(Tasks[[#This Row],[_LeafCalcFinish]],Tasks[[#This Row],[_AlapShift]],WorkWeek,Holidays)))</f>
        <v/>
      </c>
      <c r="DH73" s="101" t="str">
        <f aca="false">IF(NOT(Tasks[[#This Row],[_IsLeaf]]=1),"",IF(Tasks[[#This Row],[_AlapShift]]=0,Tasks[[#This Row],[_LeafFcstStart]],WORKDAY.INTL(Tasks[[#This Row],[_LeafFcstStart]],Tasks[[#This Row],[_AlapShift]],WorkWeek,Holidays)))</f>
        <v/>
      </c>
      <c r="DI73" s="101" t="str">
        <f aca="false">IF(NOT(Tasks[[#This Row],[_IsLeaf]]=1),"",IF(Tasks[[#This Row],[_AlapShift]]=0,Tasks[[#This Row],[_LeafFcstFinish]],WORKDAY.INTL(Tasks[[#This Row],[_LeafFcstFinish]],Tasks[[#This Row],[_AlapShift]],WorkWeek,Holidays)))</f>
        <v/>
      </c>
      <c r="DJ73" s="101" t="str">
        <f aca="false">IF(Tasks[[#This Row],[Task Name]]="","",IF(Tasks[[#This Row],[_IsSummary]],MIN(INDEX(Tasks[_ShownCalcStart],Tasks[[#This Row],[_Row]]+1):INDEX(Tasks[_ShownCalcStart],Tasks[[#This Row],[_Row]]+Tasks[[#This Row],[_Descendants]])),Tasks[[#This Row],[_ShownCalcStart]]))</f>
        <v/>
      </c>
      <c r="DK73" s="101" t="str">
        <f aca="false">IF(Tasks[[#This Row],[Task Name]]="","",IF(Tasks[[#This Row],[_IsSummary]],MAX(INDEX(Tasks[_ShownCalcFinish],Tasks[[#This Row],[_Row]]+1):INDEX(Tasks[_ShownCalcFinish],Tasks[[#This Row],[_Row]]+Tasks[[#This Row],[_Descendants]])),Tasks[[#This Row],[_ShownCalcFinish]]))</f>
        <v/>
      </c>
      <c r="D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3" s="41" t="n">
        <f aca="false">IF(AND(Tasks[[#This Row],[_IsLeaf]]=1,Tasks[[#This Row],[_LeafTotalWork]]&gt;0),NETWORKDAYS.INTL(ProjectStart,Tasks[[#This Row],[_ShownFcstStart]],WorkWeek,Holidays),0)</f>
        <v>0</v>
      </c>
      <c r="DY73" s="41" t="n">
        <f aca="false">IF(AND(Tasks[[#This Row],[_IsLeaf]]=1,Tasks[[#This Row],[_LeafTotalWork]]&gt;0),MAX(Tasks[[#This Row],[_StartWorkday]],NETWORKDAYS.INTL(ProjectStart,Tasks[[#This Row],[_ShownFcstFinish]],WorkWeek,Holidays)),0)</f>
        <v>0</v>
      </c>
      <c r="DZ73" s="41" t="n">
        <f aca="false">IF(AND(Tasks[[#This Row],[_IsLeaf]]=1,Tasks[[#This Row],[_LeafTotalWork]]&gt;0),Tasks[[#This Row],[_LeafWork]]/(Tasks[[#This Row],[_FinishWorkday]]-Tasks[[#This Row],[_StartWorkday]]+1),0)</f>
        <v>0</v>
      </c>
      <c r="EA73" s="41" t="n">
        <f aca="false">Tasks[[#This Row],[_WorkPerWorkday]]*(Tasks[[#This Row],[_StartWorkday]]-1)</f>
        <v>-0</v>
      </c>
      <c r="EB73" s="41" t="n">
        <f aca="false">IF(Tasks[[#This Row],[_IsLeaf]]=1,MAX(N(Tasks[[#This Row],[Duration]]),0.1),0)</f>
        <v>0</v>
      </c>
      <c r="EC73" s="41" t="n">
        <f aca="false">Tasks[[#This Row],[_WeightDur]]*Tasks[[#This Row],[_LeafProgress]]</f>
        <v>0</v>
      </c>
      <c r="ED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3" s="41" t="str">
        <f aca="false">IF(AND(Tasks[[#This Row],[_IsLeaf]]=1,N(Tasks[[#This Row],[Duration]])=0,Tasks[[#This Row],[_LeafProgress]]&lt;1),Tasks[[#This Row],[_ShownFcstFinish]]+Tasks[[#This Row],[_Row]]/100000,"")</f>
        <v/>
      </c>
      <c r="EF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3" s="41" t="n">
        <f aca="false">IF(NOT(Tasks[[#This Row],[_IsLeaf]]=1),0,IF(Tasks[[#This Row],[Baseline Cost]]="",Tasks[[#This Row],[_LeafTotalCost]],N(Tasks[[#This Row],[Baseline Cost]])))</f>
        <v>0</v>
      </c>
      <c r="EH73" s="41" t="n">
        <f aca="false">Tasks[[#This Row],[_LeafBudget]]*Tasks[[#This Row],[_PlannedPct]]</f>
        <v>0</v>
      </c>
      <c r="EI73" s="41" t="n">
        <f aca="false">Tasks[[#This Row],[_LeafBudget]]*Tasks[[#This Row],[_LeafProgress]]</f>
        <v>0</v>
      </c>
      <c r="EJ73" s="41" t="n">
        <f aca="false">IF(NOT(Tasks[[#This Row],[_IsLeaf]]=1),0,IF(Tasks[[#This Row],[Actual Cost]]="",Tasks[[#This Row],[_LeafTotalCost]]*Tasks[[#This Row],[_LeafProgress]],N(Tasks[[#This Row],[Actual Cost]])))</f>
        <v>0</v>
      </c>
      <c r="EK73" s="41" t="str">
        <f aca="false">IF(Tasks[[#This Row],[Task Name]]="","",LEFT(Tasks[[#This Row],[WBS]],FIND(".",Tasks[[#This Row],[WBS]]&amp;".")-1))</f>
        <v/>
      </c>
      <c r="EL73" s="41" t="str">
        <f aca="false">IF(AND(Tasks[[#This Row],[Task Name]]&lt;&gt;"",Tasks[[#This Row],[_Level]]=1),Tasks[[#This Row],[_Row]],"")</f>
        <v/>
      </c>
      <c r="EM73" s="41" t="str">
        <f aca="false">IF(AND(Tasks[[#This Row],[_IsLeaf]]=1,N(Tasks[[#This Row],[Duration]])=0),Tasks[[#This Row],[Planned Finish]]+Tasks[[#This Row],[_Row]]/100000,"")</f>
        <v/>
      </c>
      <c r="EN73" s="41" t="str">
        <f aca="false">IF(AND(Tasks[[#This Row],[_IsLeaf]]=1,Tasks[[#This Row],[_LeafProgress]]&lt;1,OR(N(Tasks[[#This Row],[Finish Var]])&gt;0,Tasks[[#This Row],[Status]]="Late Start")),MAX(0,Tasks[[#This Row],[Finish Var]])+1-Tasks[[#This Row],[_Row]]/1000000,"")</f>
        <v/>
      </c>
      <c r="EO73" s="41" t="str">
        <f aca="false">IF(AND(Tasks[[#This Row],[_IsLeaf]]=1,N(Tasks[[#This Row],[Actual Start]])=0,Tasks[[#This Row],[_ShownFcstStart]]&gt;=StatusDate,Tasks[[#This Row],[_ShownFcstStart]]&lt;=LookaheadEnd),Tasks[[#This Row],[_ShownFcstStart]]+Tasks[[#This Row],[_Row]]/100000,"")</f>
        <v/>
      </c>
      <c r="EP73" s="41" t="str">
        <f aca="false">IF(AND(Tasks[[#This Row],[_IsLeaf]]=1,Tasks[[#This Row],[_LeafProgress]]&lt;1,Tasks[[#This Row],[_ShownFcstFinish]]&gt;=StatusDate,Tasks[[#This Row],[_ShownFcstFinish]]&lt;=LookaheadEnd),Tasks[[#This Row],[_ShownFcstFinish]]+Tasks[[#This Row],[_Row]]/100000,"")</f>
        <v/>
      </c>
      <c r="EQ73" s="41" t="str">
        <f aca="false">IF(Tasks[[#This Row],[_LeafCritical]],Tasks[[#This Row],[_ShownFcstStart]]+Tasks[[#This Row],[_Row]]/100000,"")</f>
        <v/>
      </c>
      <c r="ER73" s="41" t="n">
        <f aca="false">Tasks[[#This Row],[_LeafWork]]*Tasks[[#This Row],[_LeafProgress]]</f>
        <v>0</v>
      </c>
      <c r="ES73" s="101" t="str">
        <f aca="false">IF(AND(Tasks[[#This Row],[_IsLeaf]]=1,Tasks[[#This Row],[_LeafProgress]]&gt;=1),IF(N(Tasks[[#This Row],[Actual Finish]])&gt;0,Tasks[[#This Row],[Actual Finish]],Tasks[[#This Row],[_ShownFcstFinish]]),"")</f>
        <v/>
      </c>
      <c r="ET73" s="41" t="n">
        <f aca="false">IF(Tasks[[#This Row],[_IsLeaf]]=1,N(Tasks[[#This Row],[Story Points]]),0)</f>
        <v>0</v>
      </c>
      <c r="EU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29"/>
      <c r="O74" s="29"/>
      <c r="P74" s="29"/>
      <c r="Q74" s="29"/>
      <c r="R74" s="29"/>
      <c r="S74" s="29"/>
      <c r="T74" s="30"/>
      <c r="U74" s="75"/>
      <c r="V74" s="75"/>
      <c r="W74" s="25" t="str">
        <f aca="false">IF(Tasks[[#This Row],[Task Name]]="","",IF(N(Tasks[[#This Row],[Baseline Start]])&gt;0,Tasks[[#This Row],[Baseline Start]],Tasks[[#This Row],[_CalcStart]]))</f>
        <v/>
      </c>
      <c r="X74" s="25" t="str">
        <f aca="false">IF(Tasks[[#This Row],[Task Name]]="","",IF(N(Tasks[[#This Row],[Baseline Finish]])&gt;0,Tasks[[#This Row],[Baseline Finish]],Tasks[[#This Row],[_CalcFinish]]))</f>
        <v/>
      </c>
      <c r="Y74" s="75"/>
      <c r="Z74" s="75"/>
      <c r="AA74" s="25" t="str">
        <f aca="false">IF(Tasks[[#This Row],[Task Name]]="","",IF(Tasks[[#This Row],[_IsSummary]],MIN(INDEX(Tasks[_ShownFcstStart],Tasks[[#This Row],[_Row]]+1):INDEX(Tasks[_ShownFcstStart],Tasks[[#This Row],[_Row]]+Tasks[[#This Row],[_Descendants]])),Tasks[[#This Row],[_ShownFcstStart]]))</f>
        <v/>
      </c>
      <c r="AB74" s="25" t="str">
        <f aca="false">IF(Tasks[[#This Row],[Task Name]]="","",IF(Tasks[[#This Row],[_IsSummary]],MAX(INDEX(Tasks[_ShownFcstFinish],Tasks[[#This Row],[_Row]]+1):INDEX(Tasks[_ShownFcstFinish],Tasks[[#This Row],[_Row]]+Tasks[[#This Row],[_Descendants]])),Tasks[[#This Row],[_ShownFcstFinish]]))</f>
        <v/>
      </c>
      <c r="AC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4" s="25" t="str">
        <f aca="false">IF(Tasks[[#This Row],[Task Name]]="","",IF(Tasks[[#This Row],[_IsSummary]],MIN(INDEX(Tasks[_LeafLateStart],Tasks[[#This Row],[_Row]]+1):INDEX(Tasks[_LeafLateStart],Tasks[[#This Row],[_Row]]+Tasks[[#This Row],[_Descendants]])),Tasks[[#This Row],[_LeafLateStart]]))</f>
        <v/>
      </c>
      <c r="AF74" s="25" t="str">
        <f aca="false">IF(Tasks[[#This Row],[Task Name]]="","",IF(Tasks[[#This Row],[_IsSummary]],MAX(INDEX(Tasks[_LeafLateFinish],Tasks[[#This Row],[_Row]]+1):INDEX(Tasks[_LeafLateFinish],Tasks[[#This Row],[_Row]]+Tasks[[#This Row],[_Descendants]])),Tasks[[#This Row],[_LeafLateFinish]]))</f>
        <v/>
      </c>
      <c r="AG74" s="28" t="str">
        <f aca="false">IF(Tasks[[#This Row],[Task Name]]="","",IF(Tasks[[#This Row],[_IsSummary]],MIN(INDEX(Tasks[_LeafTotalSlack],Tasks[[#This Row],[_Row]]+1):INDEX(Tasks[_LeafTotalSlack],Tasks[[#This Row],[_Row]]+Tasks[[#This Row],[_Descendants]])),Tasks[[#This Row],[_LeafTotalSlack]]))</f>
        <v/>
      </c>
      <c r="AH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4" s="28" t="str">
        <f aca="false">IF(Tasks[[#This Row],[Task Name]]="","",IF(IF(Tasks[[#This Row],[_IsSummary]],COUNTIF(INDEX(Tasks[_LeafCritical],Tasks[[#This Row],[_Row]]+1):INDEX(Tasks[_LeafCritical],Tasks[[#This Row],[_Row]]+Tasks[[#This Row],[_Descendants]]),TRUE())&gt;0,Tasks[[#This Row],[_LeafCritical]]),"Yes",""))</f>
        <v/>
      </c>
      <c r="AJ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4" s="89"/>
      <c r="AM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4" s="28" t="str">
        <f aca="false">IF(Tasks[[#This Row],[Task Name]]="","",IF(Tasks[[#This Row],[Progress]]&gt;=1,"Complete",IF(OR(N(Tasks[[#This Row],[Actual Start]])&gt;0,Tasks[[#This Row],[Progress]]&gt;0),IF(Tasks[[#This Row],[Finish Var]]&gt;0,"Behind","In Progress"),IF(Tasks[[#This Row],[Planned Start]]&lt;StatusDate,"Late Start","Not Started"))))</f>
        <v/>
      </c>
      <c r="AO74" s="30"/>
      <c r="AP74" s="89"/>
      <c r="AQ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4" s="96" t="str">
        <f aca="false">IF(Tasks[[#This Row],[Task Name]]="","",IF(Tasks[[#This Row],[_IsSummary]],SUM(INDEX(Tasks[_LeafTotalWork],Tasks[[#This Row],[_Row]]+1):INDEX(Tasks[_LeafTotalWork],Tasks[[#This Row],[_Row]]+Tasks[[#This Row],[_Descendants]])),Tasks[[#This Row],[_LeafTotalWork]]))</f>
        <v/>
      </c>
      <c r="AT74" s="97" t="str">
        <f aca="false">IF(Tasks[[#This Row],[Task Name]]="","",IF(Tasks[[#This Row],[_IsSummary]],SUM(INDEX(Tasks[_LeafTotalCost],Tasks[[#This Row],[_Row]]+1):INDEX(Tasks[_LeafTotalCost],Tasks[[#This Row],[_Row]]+Tasks[[#This Row],[_Descendants]])),Tasks[[#This Row],[_LeafTotalCost]]))</f>
        <v/>
      </c>
      <c r="AU74" s="98"/>
      <c r="AV74" s="29"/>
      <c r="AW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4" s="83"/>
      <c r="AY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4" s="30"/>
      <c r="BA74" s="25" t="str">
        <f aca="false">IF(Tasks[[#This Row],[Task Name]]="","",Tasks[[#This Row],[Forecast Start]])</f>
        <v/>
      </c>
      <c r="BB74" s="25" t="str">
        <f aca="false">IF(Tasks[[#This Row],[Task Name]]="","",Tasks[[#This Row],[Forecast Finish]])</f>
        <v/>
      </c>
      <c r="BC74" s="28" t="str">
        <f aca="false">IF(Tasks[[#This Row],[Task Name]]="","",IF(Tasks[[#This Row],[_IsSummary]],NETWORKDAYS.INTL(Tasks[[#This Row],[Forecast Start]],Tasks[[#This Row],[Forecast Finish]],WorkWeek,Holidays),N(Tasks[[#This Row],[Duration]])))</f>
        <v/>
      </c>
      <c r="BD74" s="96" t="str">
        <f aca="false">IF(Tasks[[#This Row],[Task Name]]="","",Tasks[[#This Row],[Work]])</f>
        <v/>
      </c>
      <c r="BE74" s="97" t="str">
        <f aca="false">IF(Tasks[[#This Row],[Task Name]]="","",Tasks[[#This Row],[Cost]])</f>
        <v/>
      </c>
      <c r="BF74" s="75"/>
      <c r="BG74" s="75"/>
      <c r="BH74" s="29"/>
      <c r="BI74" s="99"/>
      <c r="BJ74" s="98"/>
      <c r="BK74" s="28" t="str">
        <f aca="false">IF(OR(Tasks[[#This Row],[Task Name]]="",Tasks[[#This Row],[Baseline Duration]]=""),"",Tasks[[#This Row],[BL Source Duration]]-N(Tasks[[#This Row],[Baseline Duration]]))</f>
        <v/>
      </c>
      <c r="BL74" s="96" t="str">
        <f aca="false">IF(OR(Tasks[[#This Row],[Task Name]]="",Tasks[[#This Row],[Baseline Work]]=""),"",Tasks[[#This Row],[Work]]-N(Tasks[[#This Row],[Baseline Work]]))</f>
        <v/>
      </c>
      <c r="BM74" s="97" t="str">
        <f aca="false">IF(OR(Tasks[[#This Row],[Task Name]]="",Tasks[[#This Row],[Baseline Cost]]=""),"",Tasks[[#This Row],[Cost]]-N(Tasks[[#This Row],[Baseline Cost]]))</f>
        <v/>
      </c>
      <c r="BN74" s="97" t="str">
        <f aca="false">IF(Tasks[[#This Row],[Task Name]]="","",IF(Tasks[[#This Row],[_IsSummary]],SUM(INDEX(Tasks[_LeafBudget],Tasks[[#This Row],[_Row]]+1):INDEX(Tasks[_LeafBudget],Tasks[[#This Row],[_Row]]+Tasks[[#This Row],[_Descendants]])),Tasks[[#This Row],[_LeafBudget]]))</f>
        <v/>
      </c>
      <c r="BO74" s="97" t="str">
        <f aca="false">IF(Tasks[[#This Row],[Task Name]]="","",IF(Tasks[[#This Row],[_IsSummary]],SUM(INDEX(Tasks[_LeafPV],Tasks[[#This Row],[_Row]]+1):INDEX(Tasks[_LeafPV],Tasks[[#This Row],[_Row]]+Tasks[[#This Row],[_Descendants]])),Tasks[[#This Row],[_LeafPV]]))</f>
        <v/>
      </c>
      <c r="BP74" s="97" t="str">
        <f aca="false">IF(Tasks[[#This Row],[Task Name]]="","",IF(Tasks[[#This Row],[_IsSummary]],SUM(INDEX(Tasks[_LeafEV],Tasks[[#This Row],[_Row]]+1):INDEX(Tasks[_LeafEV],Tasks[[#This Row],[_Row]]+Tasks[[#This Row],[_Descendants]])),Tasks[[#This Row],[_LeafEV]]))</f>
        <v/>
      </c>
      <c r="BQ74" s="97" t="str">
        <f aca="false">IF(Tasks[[#This Row],[Task Name]]="","",IF(Tasks[[#This Row],[_IsSummary]],SUM(INDEX(Tasks[_LeafAC],Tasks[[#This Row],[_Row]]+1):INDEX(Tasks[_LeafAC],Tasks[[#This Row],[_Row]]+Tasks[[#This Row],[_Descendants]])),Tasks[[#This Row],[_LeafAC]]))</f>
        <v/>
      </c>
      <c r="BR74" s="41" t="str">
        <f aca="false">IF(Tasks[[#This Row],[Task Name]]="","",MAX(1,N(Tasks[[#This Row],[Level]])))</f>
        <v/>
      </c>
      <c r="BS74" s="41" t="n">
        <f aca="false">ROW()-ROW(Tasks[[#Headers],[ID]])</f>
        <v>69</v>
      </c>
      <c r="BT74" s="41" t="n">
        <f aca="false">IF(OR(Tasks[[#This Row],[Task Name]]="",Tasks[[#This Row],[_Level]]&lt;=1),0,IFERROR(LOOKUP(2,1/(Tasks[[#Headers],[_Level]]:Tasks[[#This Row],[_Level]]=Tasks[[#This Row],[_Level]]-1),ROW(Tasks[[#Headers],[_Level]]:Tasks[[#This Row],[_Level]])),0))</f>
        <v>0</v>
      </c>
      <c r="BU74" s="41" t="n">
        <f aca="false">IFERROR(N(INDEX(Tasks[_Level],Tasks[[#This Row],[_Row]]+1)),0)</f>
        <v>0</v>
      </c>
      <c r="BV74" s="100" t="b">
        <f aca="false">AND(Tasks[[#This Row],[Task Name]]&lt;&gt;"",Tasks[[#This Row],[_NextLevel]]&gt;Tasks[[#This Row],[_Level]])</f>
        <v>0</v>
      </c>
      <c r="BW74" s="41" t="n">
        <f aca="false">IF(Tasks[[#This Row],[_IsSummary]],COUNTIF(Tasks[WBS],Tasks[[#This Row],[WBS]]&amp;".*"),0)</f>
        <v>0</v>
      </c>
      <c r="BX74" s="41" t="n">
        <f aca="false">IF(AND(Tasks[[#This Row],[Task Name]]&lt;&gt;"",NOT(Tasks[[#This Row],[_IsSummary]])),1,0)</f>
        <v>0</v>
      </c>
      <c r="BY74" s="41" t="n">
        <f aca="false">IF(N(Tasks[[#This Row],[Pred1 UID]])=0,0,IFERROR(MATCH(Tasks[[#This Row],[Pred1 UID]],Tasks[UID],0),-1))</f>
        <v>0</v>
      </c>
      <c r="BZ74" s="41" t="n">
        <f aca="false">IF(N(Tasks[[#This Row],[Pred2 UID]])=0,0,IFERROR(MATCH(Tasks[[#This Row],[Pred2 UID]],Tasks[UID],0),-1))</f>
        <v>0</v>
      </c>
      <c r="CA74" s="41" t="n">
        <f aca="false">IF(N(Tasks[[#This Row],[Pred3 UID]])=0,0,IFERROR(MATCH(Tasks[[#This Row],[Pred3 UID]],Tasks[UID],0),-1))</f>
        <v>0</v>
      </c>
      <c r="CB74" s="41" t="n">
        <f aca="false">IF(N(Tasks[[#This Row],[Pred4 UID]])=0,0,IFERROR(MATCH(Tasks[[#This Row],[Pred4 UID]],Tasks[UID],0),-1))</f>
        <v>0</v>
      </c>
      <c r="CC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4" s="101" t="n">
        <f aca="false">IF(OR(Tasks[[#This Row],[_ConstraintCode]]=2,Tasks[[#This Row],[_ConstraintCode]]=3,Tasks[[#This Row],[_ConstraintCode]]=4,Tasks[[#This Row],[_ConstraintCode]]=6),Tasks[[#This Row],[_ConstraintStart]],0)</f>
        <v>0</v>
      </c>
      <c r="CF74" s="101" t="n">
        <f aca="false">IF(OR(Tasks[[#This Row],[_ConstraintCode]]=2,Tasks[[#This Row],[_ConstraintCode]]=3,Tasks[[#This Row],[_ConstraintCode]]=5,Tasks[[#This Row],[_ConstraintCode]]=7),Tasks[[#This Row],[_ConstraintStart]],2958465)</f>
        <v>2958465</v>
      </c>
      <c r="CG7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4" s="101" t="str">
        <f aca="false">IF(NOT(Tasks[[#This Row],[_IsLeaf]]=1),"",IF(N(Tasks[[#This Row],[Duration]])&lt;=0,Tasks[[#This Row],[_LeafCalcStart]],WORKDAY.INTL(Tasks[[#This Row],[_LeafCalcStart]],Tasks[[#This Row],[Duration]]-1,WorkWeek,Holidays)))</f>
        <v/>
      </c>
      <c r="CI7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4" s="41" t="n">
        <f aca="false">IF(NOT(Tasks[[#This Row],[_IsLeaf]]=1),0,IF(N(Tasks[[#This Row],[Actual Finish]])&gt;0,1,MIN(1,N(Tasks[[#This Row],[% Complete]]))))</f>
        <v>0</v>
      </c>
      <c r="CL74" s="41" t="n">
        <f aca="false">IF(OR(NOT(Tasks[[#This Row],[_IsLeaf]]=1),Tasks[[#This Row],[Resource]]=""),0,N(Tasks[[#This Row],[Duration]])*HoursPerDay*IF(Tasks[[#This Row],[Units]]="",DefaultUnits,Tasks[[#This Row],[Units]]))</f>
        <v>0</v>
      </c>
      <c r="CM74" s="41" t="n">
        <f aca="false">IF(Tasks[[#This Row],[_LeafWork]]=0,0,Tasks[[#This Row],[_LeafWork]]*IFERROR(INDEX(res_Rate,MATCH(Tasks[[#This Row],[Resource]],res_Name,0)),0))</f>
        <v>0</v>
      </c>
      <c r="CN74" s="41" t="n">
        <f aca="false">Tasks[[#This Row],[_LeafWork]]+IF(Tasks[[#This Row],[_IsLeaf]]=1,SUMIFS(asg_Work,asg_TaskUID,Tasks[[#This Row],[UID]],asg_Valid,1),0)</f>
        <v>0</v>
      </c>
      <c r="CO74" s="41" t="n">
        <f aca="false">Tasks[[#This Row],[_LeafCost]]+IF(Tasks[[#This Row],[_IsLeaf]]=1,SUMIFS(asg_Cost,asg_TaskUID,Tasks[[#This Row],[UID]],asg_Valid,1),0)</f>
        <v>0</v>
      </c>
      <c r="CP74" s="41" t="n">
        <f aca="false">IF(Tasks[[#This Row],[_LeafTotalCost]]=0,Tasks[[#This Row],[_LeafAC]],Tasks[[#This Row],[_LeafAC]]*Tasks[[#This Row],[_LeafCost]]/Tasks[[#This Row],[_LeafTotalCost]])</f>
        <v>0</v>
      </c>
      <c r="CQ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4" s="41" t="n">
        <f aca="false">IF(NOT(Tasks[[#This Row],[_IsLeaf]]=1),0,MAX(_xlfn.MAXIFS(Tasks[_Row],Tasks[Pred1 UID],Tasks[[#This Row],[UID]]),_xlfn.MAXIFS(Tasks[_Row],Tasks[Pred2 UID],Tasks[[#This Row],[UID]]),_xlfn.MAXIFS(Tasks[_Row],Tasks[Pred3 UID],Tasks[[#This Row],[UID]]),_xlfn.MAXIFS(Tasks[_Row],Tasks[Pred4 UID],Tasks[[#This Row],[UID]])))</f>
        <v>0</v>
      </c>
      <c r="CZ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4" s="101" t="str">
        <f aca="false">IF(NOT(Tasks[[#This Row],[_IsLeaf]]=1),"",IF(N(Tasks[[#This Row],[Duration]])&lt;=0,Tasks[[#This Row],[_LeafLateFinish]],WORKDAY.INTL(Tasks[[#This Row],[_LeafLateFinish]],-(Tasks[[#This Row],[Duration]]-1),WorkWeek,Holidays)))</f>
        <v/>
      </c>
      <c r="DC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4" s="100" t="b">
        <f aca="false">AND(Tasks[[#This Row],[_IsLeaf]]=1,Tasks[[#This Row],[_LeafProgress]]&lt;1,N(Tasks[[#This Row],[_LeafTotalSlack]])&lt;=CriticalSlackDays)</f>
        <v>0</v>
      </c>
      <c r="DE74" s="41" t="n">
        <f aca="false">IF(AND(Tasks[[#This Row],[_IsLeaf]]=1,Tasks[[#This Row],[_ConstraintCode]]=1,Tasks[[#This Row],[Mode]]&lt;&gt;"Manual",N(Tasks[[#This Row],[Actual Start]])=0),MAX(0,N(Tasks[[#This Row],[Free Slack]])),0)</f>
        <v>0</v>
      </c>
      <c r="DF74" s="101" t="str">
        <f aca="false">IF(NOT(Tasks[[#This Row],[_IsLeaf]]=1),"",IF(Tasks[[#This Row],[_AlapShift]]=0,Tasks[[#This Row],[_LeafCalcStart]],WORKDAY.INTL(Tasks[[#This Row],[_LeafCalcStart]],Tasks[[#This Row],[_AlapShift]],WorkWeek,Holidays)))</f>
        <v/>
      </c>
      <c r="DG74" s="101" t="str">
        <f aca="false">IF(NOT(Tasks[[#This Row],[_IsLeaf]]=1),"",IF(Tasks[[#This Row],[_AlapShift]]=0,Tasks[[#This Row],[_LeafCalcFinish]],WORKDAY.INTL(Tasks[[#This Row],[_LeafCalcFinish]],Tasks[[#This Row],[_AlapShift]],WorkWeek,Holidays)))</f>
        <v/>
      </c>
      <c r="DH74" s="101" t="str">
        <f aca="false">IF(NOT(Tasks[[#This Row],[_IsLeaf]]=1),"",IF(Tasks[[#This Row],[_AlapShift]]=0,Tasks[[#This Row],[_LeafFcstStart]],WORKDAY.INTL(Tasks[[#This Row],[_LeafFcstStart]],Tasks[[#This Row],[_AlapShift]],WorkWeek,Holidays)))</f>
        <v/>
      </c>
      <c r="DI74" s="101" t="str">
        <f aca="false">IF(NOT(Tasks[[#This Row],[_IsLeaf]]=1),"",IF(Tasks[[#This Row],[_AlapShift]]=0,Tasks[[#This Row],[_LeafFcstFinish]],WORKDAY.INTL(Tasks[[#This Row],[_LeafFcstFinish]],Tasks[[#This Row],[_AlapShift]],WorkWeek,Holidays)))</f>
        <v/>
      </c>
      <c r="DJ74" s="101" t="str">
        <f aca="false">IF(Tasks[[#This Row],[Task Name]]="","",IF(Tasks[[#This Row],[_IsSummary]],MIN(INDEX(Tasks[_ShownCalcStart],Tasks[[#This Row],[_Row]]+1):INDEX(Tasks[_ShownCalcStart],Tasks[[#This Row],[_Row]]+Tasks[[#This Row],[_Descendants]])),Tasks[[#This Row],[_ShownCalcStart]]))</f>
        <v/>
      </c>
      <c r="DK74" s="101" t="str">
        <f aca="false">IF(Tasks[[#This Row],[Task Name]]="","",IF(Tasks[[#This Row],[_IsSummary]],MAX(INDEX(Tasks[_ShownCalcFinish],Tasks[[#This Row],[_Row]]+1):INDEX(Tasks[_ShownCalcFinish],Tasks[[#This Row],[_Row]]+Tasks[[#This Row],[_Descendants]])),Tasks[[#This Row],[_ShownCalcFinish]]))</f>
        <v/>
      </c>
      <c r="D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4" s="41" t="n">
        <f aca="false">IF(AND(Tasks[[#This Row],[_IsLeaf]]=1,Tasks[[#This Row],[_LeafTotalWork]]&gt;0),NETWORKDAYS.INTL(ProjectStart,Tasks[[#This Row],[_ShownFcstStart]],WorkWeek,Holidays),0)</f>
        <v>0</v>
      </c>
      <c r="DY74" s="41" t="n">
        <f aca="false">IF(AND(Tasks[[#This Row],[_IsLeaf]]=1,Tasks[[#This Row],[_LeafTotalWork]]&gt;0),MAX(Tasks[[#This Row],[_StartWorkday]],NETWORKDAYS.INTL(ProjectStart,Tasks[[#This Row],[_ShownFcstFinish]],WorkWeek,Holidays)),0)</f>
        <v>0</v>
      </c>
      <c r="DZ74" s="41" t="n">
        <f aca="false">IF(AND(Tasks[[#This Row],[_IsLeaf]]=1,Tasks[[#This Row],[_LeafTotalWork]]&gt;0),Tasks[[#This Row],[_LeafWork]]/(Tasks[[#This Row],[_FinishWorkday]]-Tasks[[#This Row],[_StartWorkday]]+1),0)</f>
        <v>0</v>
      </c>
      <c r="EA74" s="41" t="n">
        <f aca="false">Tasks[[#This Row],[_WorkPerWorkday]]*(Tasks[[#This Row],[_StartWorkday]]-1)</f>
        <v>-0</v>
      </c>
      <c r="EB74" s="41" t="n">
        <f aca="false">IF(Tasks[[#This Row],[_IsLeaf]]=1,MAX(N(Tasks[[#This Row],[Duration]]),0.1),0)</f>
        <v>0</v>
      </c>
      <c r="EC74" s="41" t="n">
        <f aca="false">Tasks[[#This Row],[_WeightDur]]*Tasks[[#This Row],[_LeafProgress]]</f>
        <v>0</v>
      </c>
      <c r="ED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4" s="41" t="str">
        <f aca="false">IF(AND(Tasks[[#This Row],[_IsLeaf]]=1,N(Tasks[[#This Row],[Duration]])=0,Tasks[[#This Row],[_LeafProgress]]&lt;1),Tasks[[#This Row],[_ShownFcstFinish]]+Tasks[[#This Row],[_Row]]/100000,"")</f>
        <v/>
      </c>
      <c r="EF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4" s="41" t="n">
        <f aca="false">IF(NOT(Tasks[[#This Row],[_IsLeaf]]=1),0,IF(Tasks[[#This Row],[Baseline Cost]]="",Tasks[[#This Row],[_LeafTotalCost]],N(Tasks[[#This Row],[Baseline Cost]])))</f>
        <v>0</v>
      </c>
      <c r="EH74" s="41" t="n">
        <f aca="false">Tasks[[#This Row],[_LeafBudget]]*Tasks[[#This Row],[_PlannedPct]]</f>
        <v>0</v>
      </c>
      <c r="EI74" s="41" t="n">
        <f aca="false">Tasks[[#This Row],[_LeafBudget]]*Tasks[[#This Row],[_LeafProgress]]</f>
        <v>0</v>
      </c>
      <c r="EJ74" s="41" t="n">
        <f aca="false">IF(NOT(Tasks[[#This Row],[_IsLeaf]]=1),0,IF(Tasks[[#This Row],[Actual Cost]]="",Tasks[[#This Row],[_LeafTotalCost]]*Tasks[[#This Row],[_LeafProgress]],N(Tasks[[#This Row],[Actual Cost]])))</f>
        <v>0</v>
      </c>
      <c r="EK74" s="41" t="str">
        <f aca="false">IF(Tasks[[#This Row],[Task Name]]="","",LEFT(Tasks[[#This Row],[WBS]],FIND(".",Tasks[[#This Row],[WBS]]&amp;".")-1))</f>
        <v/>
      </c>
      <c r="EL74" s="41" t="str">
        <f aca="false">IF(AND(Tasks[[#This Row],[Task Name]]&lt;&gt;"",Tasks[[#This Row],[_Level]]=1),Tasks[[#This Row],[_Row]],"")</f>
        <v/>
      </c>
      <c r="EM74" s="41" t="str">
        <f aca="false">IF(AND(Tasks[[#This Row],[_IsLeaf]]=1,N(Tasks[[#This Row],[Duration]])=0),Tasks[[#This Row],[Planned Finish]]+Tasks[[#This Row],[_Row]]/100000,"")</f>
        <v/>
      </c>
      <c r="EN74" s="41" t="str">
        <f aca="false">IF(AND(Tasks[[#This Row],[_IsLeaf]]=1,Tasks[[#This Row],[_LeafProgress]]&lt;1,OR(N(Tasks[[#This Row],[Finish Var]])&gt;0,Tasks[[#This Row],[Status]]="Late Start")),MAX(0,Tasks[[#This Row],[Finish Var]])+1-Tasks[[#This Row],[_Row]]/1000000,"")</f>
        <v/>
      </c>
      <c r="EO74" s="41" t="str">
        <f aca="false">IF(AND(Tasks[[#This Row],[_IsLeaf]]=1,N(Tasks[[#This Row],[Actual Start]])=0,Tasks[[#This Row],[_ShownFcstStart]]&gt;=StatusDate,Tasks[[#This Row],[_ShownFcstStart]]&lt;=LookaheadEnd),Tasks[[#This Row],[_ShownFcstStart]]+Tasks[[#This Row],[_Row]]/100000,"")</f>
        <v/>
      </c>
      <c r="EP74" s="41" t="str">
        <f aca="false">IF(AND(Tasks[[#This Row],[_IsLeaf]]=1,Tasks[[#This Row],[_LeafProgress]]&lt;1,Tasks[[#This Row],[_ShownFcstFinish]]&gt;=StatusDate,Tasks[[#This Row],[_ShownFcstFinish]]&lt;=LookaheadEnd),Tasks[[#This Row],[_ShownFcstFinish]]+Tasks[[#This Row],[_Row]]/100000,"")</f>
        <v/>
      </c>
      <c r="EQ74" s="41" t="str">
        <f aca="false">IF(Tasks[[#This Row],[_LeafCritical]],Tasks[[#This Row],[_ShownFcstStart]]+Tasks[[#This Row],[_Row]]/100000,"")</f>
        <v/>
      </c>
      <c r="ER74" s="41" t="n">
        <f aca="false">Tasks[[#This Row],[_LeafWork]]*Tasks[[#This Row],[_LeafProgress]]</f>
        <v>0</v>
      </c>
      <c r="ES74" s="101" t="str">
        <f aca="false">IF(AND(Tasks[[#This Row],[_IsLeaf]]=1,Tasks[[#This Row],[_LeafProgress]]&gt;=1),IF(N(Tasks[[#This Row],[Actual Finish]])&gt;0,Tasks[[#This Row],[Actual Finish]],Tasks[[#This Row],[_ShownFcstFinish]]),"")</f>
        <v/>
      </c>
      <c r="ET74" s="41" t="n">
        <f aca="false">IF(Tasks[[#This Row],[_IsLeaf]]=1,N(Tasks[[#This Row],[Story Points]]),0)</f>
        <v>0</v>
      </c>
      <c r="EU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29"/>
      <c r="O75" s="29"/>
      <c r="P75" s="29"/>
      <c r="Q75" s="29"/>
      <c r="R75" s="29"/>
      <c r="S75" s="29"/>
      <c r="T75" s="30"/>
      <c r="U75" s="75"/>
      <c r="V75" s="75"/>
      <c r="W75" s="25" t="str">
        <f aca="false">IF(Tasks[[#This Row],[Task Name]]="","",IF(N(Tasks[[#This Row],[Baseline Start]])&gt;0,Tasks[[#This Row],[Baseline Start]],Tasks[[#This Row],[_CalcStart]]))</f>
        <v/>
      </c>
      <c r="X75" s="25" t="str">
        <f aca="false">IF(Tasks[[#This Row],[Task Name]]="","",IF(N(Tasks[[#This Row],[Baseline Finish]])&gt;0,Tasks[[#This Row],[Baseline Finish]],Tasks[[#This Row],[_CalcFinish]]))</f>
        <v/>
      </c>
      <c r="Y75" s="75"/>
      <c r="Z75" s="75"/>
      <c r="AA75" s="25" t="str">
        <f aca="false">IF(Tasks[[#This Row],[Task Name]]="","",IF(Tasks[[#This Row],[_IsSummary]],MIN(INDEX(Tasks[_ShownFcstStart],Tasks[[#This Row],[_Row]]+1):INDEX(Tasks[_ShownFcstStart],Tasks[[#This Row],[_Row]]+Tasks[[#This Row],[_Descendants]])),Tasks[[#This Row],[_ShownFcstStart]]))</f>
        <v/>
      </c>
      <c r="AB75" s="25" t="str">
        <f aca="false">IF(Tasks[[#This Row],[Task Name]]="","",IF(Tasks[[#This Row],[_IsSummary]],MAX(INDEX(Tasks[_ShownFcstFinish],Tasks[[#This Row],[_Row]]+1):INDEX(Tasks[_ShownFcstFinish],Tasks[[#This Row],[_Row]]+Tasks[[#This Row],[_Descendants]])),Tasks[[#This Row],[_ShownFcstFinish]]))</f>
        <v/>
      </c>
      <c r="AC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5" s="25" t="str">
        <f aca="false">IF(Tasks[[#This Row],[Task Name]]="","",IF(Tasks[[#This Row],[_IsSummary]],MIN(INDEX(Tasks[_LeafLateStart],Tasks[[#This Row],[_Row]]+1):INDEX(Tasks[_LeafLateStart],Tasks[[#This Row],[_Row]]+Tasks[[#This Row],[_Descendants]])),Tasks[[#This Row],[_LeafLateStart]]))</f>
        <v/>
      </c>
      <c r="AF75" s="25" t="str">
        <f aca="false">IF(Tasks[[#This Row],[Task Name]]="","",IF(Tasks[[#This Row],[_IsSummary]],MAX(INDEX(Tasks[_LeafLateFinish],Tasks[[#This Row],[_Row]]+1):INDEX(Tasks[_LeafLateFinish],Tasks[[#This Row],[_Row]]+Tasks[[#This Row],[_Descendants]])),Tasks[[#This Row],[_LeafLateFinish]]))</f>
        <v/>
      </c>
      <c r="AG75" s="28" t="str">
        <f aca="false">IF(Tasks[[#This Row],[Task Name]]="","",IF(Tasks[[#This Row],[_IsSummary]],MIN(INDEX(Tasks[_LeafTotalSlack],Tasks[[#This Row],[_Row]]+1):INDEX(Tasks[_LeafTotalSlack],Tasks[[#This Row],[_Row]]+Tasks[[#This Row],[_Descendants]])),Tasks[[#This Row],[_LeafTotalSlack]]))</f>
        <v/>
      </c>
      <c r="AH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5" s="28" t="str">
        <f aca="false">IF(Tasks[[#This Row],[Task Name]]="","",IF(IF(Tasks[[#This Row],[_IsSummary]],COUNTIF(INDEX(Tasks[_LeafCritical],Tasks[[#This Row],[_Row]]+1):INDEX(Tasks[_LeafCritical],Tasks[[#This Row],[_Row]]+Tasks[[#This Row],[_Descendants]]),TRUE())&gt;0,Tasks[[#This Row],[_LeafCritical]]),"Yes",""))</f>
        <v/>
      </c>
      <c r="AJ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5" s="89"/>
      <c r="AM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5" s="28" t="str">
        <f aca="false">IF(Tasks[[#This Row],[Task Name]]="","",IF(Tasks[[#This Row],[Progress]]&gt;=1,"Complete",IF(OR(N(Tasks[[#This Row],[Actual Start]])&gt;0,Tasks[[#This Row],[Progress]]&gt;0),IF(Tasks[[#This Row],[Finish Var]]&gt;0,"Behind","In Progress"),IF(Tasks[[#This Row],[Planned Start]]&lt;StatusDate,"Late Start","Not Started"))))</f>
        <v/>
      </c>
      <c r="AO75" s="30"/>
      <c r="AP75" s="89"/>
      <c r="AQ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5" s="96" t="str">
        <f aca="false">IF(Tasks[[#This Row],[Task Name]]="","",IF(Tasks[[#This Row],[_IsSummary]],SUM(INDEX(Tasks[_LeafTotalWork],Tasks[[#This Row],[_Row]]+1):INDEX(Tasks[_LeafTotalWork],Tasks[[#This Row],[_Row]]+Tasks[[#This Row],[_Descendants]])),Tasks[[#This Row],[_LeafTotalWork]]))</f>
        <v/>
      </c>
      <c r="AT75" s="97" t="str">
        <f aca="false">IF(Tasks[[#This Row],[Task Name]]="","",IF(Tasks[[#This Row],[_IsSummary]],SUM(INDEX(Tasks[_LeafTotalCost],Tasks[[#This Row],[_Row]]+1):INDEX(Tasks[_LeafTotalCost],Tasks[[#This Row],[_Row]]+Tasks[[#This Row],[_Descendants]])),Tasks[[#This Row],[_LeafTotalCost]]))</f>
        <v/>
      </c>
      <c r="AU75" s="98"/>
      <c r="AV75" s="29"/>
      <c r="AW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5" s="83"/>
      <c r="AY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5" s="30"/>
      <c r="BA75" s="25" t="str">
        <f aca="false">IF(Tasks[[#This Row],[Task Name]]="","",Tasks[[#This Row],[Forecast Start]])</f>
        <v/>
      </c>
      <c r="BB75" s="25" t="str">
        <f aca="false">IF(Tasks[[#This Row],[Task Name]]="","",Tasks[[#This Row],[Forecast Finish]])</f>
        <v/>
      </c>
      <c r="BC75" s="28" t="str">
        <f aca="false">IF(Tasks[[#This Row],[Task Name]]="","",IF(Tasks[[#This Row],[_IsSummary]],NETWORKDAYS.INTL(Tasks[[#This Row],[Forecast Start]],Tasks[[#This Row],[Forecast Finish]],WorkWeek,Holidays),N(Tasks[[#This Row],[Duration]])))</f>
        <v/>
      </c>
      <c r="BD75" s="96" t="str">
        <f aca="false">IF(Tasks[[#This Row],[Task Name]]="","",Tasks[[#This Row],[Work]])</f>
        <v/>
      </c>
      <c r="BE75" s="97" t="str">
        <f aca="false">IF(Tasks[[#This Row],[Task Name]]="","",Tasks[[#This Row],[Cost]])</f>
        <v/>
      </c>
      <c r="BF75" s="75"/>
      <c r="BG75" s="75"/>
      <c r="BH75" s="29"/>
      <c r="BI75" s="99"/>
      <c r="BJ75" s="98"/>
      <c r="BK75" s="28" t="str">
        <f aca="false">IF(OR(Tasks[[#This Row],[Task Name]]="",Tasks[[#This Row],[Baseline Duration]]=""),"",Tasks[[#This Row],[BL Source Duration]]-N(Tasks[[#This Row],[Baseline Duration]]))</f>
        <v/>
      </c>
      <c r="BL75" s="96" t="str">
        <f aca="false">IF(OR(Tasks[[#This Row],[Task Name]]="",Tasks[[#This Row],[Baseline Work]]=""),"",Tasks[[#This Row],[Work]]-N(Tasks[[#This Row],[Baseline Work]]))</f>
        <v/>
      </c>
      <c r="BM75" s="97" t="str">
        <f aca="false">IF(OR(Tasks[[#This Row],[Task Name]]="",Tasks[[#This Row],[Baseline Cost]]=""),"",Tasks[[#This Row],[Cost]]-N(Tasks[[#This Row],[Baseline Cost]]))</f>
        <v/>
      </c>
      <c r="BN75" s="97" t="str">
        <f aca="false">IF(Tasks[[#This Row],[Task Name]]="","",IF(Tasks[[#This Row],[_IsSummary]],SUM(INDEX(Tasks[_LeafBudget],Tasks[[#This Row],[_Row]]+1):INDEX(Tasks[_LeafBudget],Tasks[[#This Row],[_Row]]+Tasks[[#This Row],[_Descendants]])),Tasks[[#This Row],[_LeafBudget]]))</f>
        <v/>
      </c>
      <c r="BO75" s="97" t="str">
        <f aca="false">IF(Tasks[[#This Row],[Task Name]]="","",IF(Tasks[[#This Row],[_IsSummary]],SUM(INDEX(Tasks[_LeafPV],Tasks[[#This Row],[_Row]]+1):INDEX(Tasks[_LeafPV],Tasks[[#This Row],[_Row]]+Tasks[[#This Row],[_Descendants]])),Tasks[[#This Row],[_LeafPV]]))</f>
        <v/>
      </c>
      <c r="BP75" s="97" t="str">
        <f aca="false">IF(Tasks[[#This Row],[Task Name]]="","",IF(Tasks[[#This Row],[_IsSummary]],SUM(INDEX(Tasks[_LeafEV],Tasks[[#This Row],[_Row]]+1):INDEX(Tasks[_LeafEV],Tasks[[#This Row],[_Row]]+Tasks[[#This Row],[_Descendants]])),Tasks[[#This Row],[_LeafEV]]))</f>
        <v/>
      </c>
      <c r="BQ75" s="97" t="str">
        <f aca="false">IF(Tasks[[#This Row],[Task Name]]="","",IF(Tasks[[#This Row],[_IsSummary]],SUM(INDEX(Tasks[_LeafAC],Tasks[[#This Row],[_Row]]+1):INDEX(Tasks[_LeafAC],Tasks[[#This Row],[_Row]]+Tasks[[#This Row],[_Descendants]])),Tasks[[#This Row],[_LeafAC]]))</f>
        <v/>
      </c>
      <c r="BR75" s="41" t="str">
        <f aca="false">IF(Tasks[[#This Row],[Task Name]]="","",MAX(1,N(Tasks[[#This Row],[Level]])))</f>
        <v/>
      </c>
      <c r="BS75" s="41" t="n">
        <f aca="false">ROW()-ROW(Tasks[[#Headers],[ID]])</f>
        <v>70</v>
      </c>
      <c r="BT75" s="41" t="n">
        <f aca="false">IF(OR(Tasks[[#This Row],[Task Name]]="",Tasks[[#This Row],[_Level]]&lt;=1),0,IFERROR(LOOKUP(2,1/(Tasks[[#Headers],[_Level]]:Tasks[[#This Row],[_Level]]=Tasks[[#This Row],[_Level]]-1),ROW(Tasks[[#Headers],[_Level]]:Tasks[[#This Row],[_Level]])),0))</f>
        <v>0</v>
      </c>
      <c r="BU75" s="41" t="n">
        <f aca="false">IFERROR(N(INDEX(Tasks[_Level],Tasks[[#This Row],[_Row]]+1)),0)</f>
        <v>0</v>
      </c>
      <c r="BV75" s="100" t="b">
        <f aca="false">AND(Tasks[[#This Row],[Task Name]]&lt;&gt;"",Tasks[[#This Row],[_NextLevel]]&gt;Tasks[[#This Row],[_Level]])</f>
        <v>0</v>
      </c>
      <c r="BW75" s="41" t="n">
        <f aca="false">IF(Tasks[[#This Row],[_IsSummary]],COUNTIF(Tasks[WBS],Tasks[[#This Row],[WBS]]&amp;".*"),0)</f>
        <v>0</v>
      </c>
      <c r="BX75" s="41" t="n">
        <f aca="false">IF(AND(Tasks[[#This Row],[Task Name]]&lt;&gt;"",NOT(Tasks[[#This Row],[_IsSummary]])),1,0)</f>
        <v>0</v>
      </c>
      <c r="BY75" s="41" t="n">
        <f aca="false">IF(N(Tasks[[#This Row],[Pred1 UID]])=0,0,IFERROR(MATCH(Tasks[[#This Row],[Pred1 UID]],Tasks[UID],0),-1))</f>
        <v>0</v>
      </c>
      <c r="BZ75" s="41" t="n">
        <f aca="false">IF(N(Tasks[[#This Row],[Pred2 UID]])=0,0,IFERROR(MATCH(Tasks[[#This Row],[Pred2 UID]],Tasks[UID],0),-1))</f>
        <v>0</v>
      </c>
      <c r="CA75" s="41" t="n">
        <f aca="false">IF(N(Tasks[[#This Row],[Pred3 UID]])=0,0,IFERROR(MATCH(Tasks[[#This Row],[Pred3 UID]],Tasks[UID],0),-1))</f>
        <v>0</v>
      </c>
      <c r="CB75" s="41" t="n">
        <f aca="false">IF(N(Tasks[[#This Row],[Pred4 UID]])=0,0,IFERROR(MATCH(Tasks[[#This Row],[Pred4 UID]],Tasks[UID],0),-1))</f>
        <v>0</v>
      </c>
      <c r="CC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5" s="101" t="n">
        <f aca="false">IF(OR(Tasks[[#This Row],[_ConstraintCode]]=2,Tasks[[#This Row],[_ConstraintCode]]=3,Tasks[[#This Row],[_ConstraintCode]]=4,Tasks[[#This Row],[_ConstraintCode]]=6),Tasks[[#This Row],[_ConstraintStart]],0)</f>
        <v>0</v>
      </c>
      <c r="CF75" s="101" t="n">
        <f aca="false">IF(OR(Tasks[[#This Row],[_ConstraintCode]]=2,Tasks[[#This Row],[_ConstraintCode]]=3,Tasks[[#This Row],[_ConstraintCode]]=5,Tasks[[#This Row],[_ConstraintCode]]=7),Tasks[[#This Row],[_ConstraintStart]],2958465)</f>
        <v>2958465</v>
      </c>
      <c r="CG7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5" s="101" t="str">
        <f aca="false">IF(NOT(Tasks[[#This Row],[_IsLeaf]]=1),"",IF(N(Tasks[[#This Row],[Duration]])&lt;=0,Tasks[[#This Row],[_LeafCalcStart]],WORKDAY.INTL(Tasks[[#This Row],[_LeafCalcStart]],Tasks[[#This Row],[Duration]]-1,WorkWeek,Holidays)))</f>
        <v/>
      </c>
      <c r="CI7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5" s="41" t="n">
        <f aca="false">IF(NOT(Tasks[[#This Row],[_IsLeaf]]=1),0,IF(N(Tasks[[#This Row],[Actual Finish]])&gt;0,1,MIN(1,N(Tasks[[#This Row],[% Complete]]))))</f>
        <v>0</v>
      </c>
      <c r="CL75" s="41" t="n">
        <f aca="false">IF(OR(NOT(Tasks[[#This Row],[_IsLeaf]]=1),Tasks[[#This Row],[Resource]]=""),0,N(Tasks[[#This Row],[Duration]])*HoursPerDay*IF(Tasks[[#This Row],[Units]]="",DefaultUnits,Tasks[[#This Row],[Units]]))</f>
        <v>0</v>
      </c>
      <c r="CM75" s="41" t="n">
        <f aca="false">IF(Tasks[[#This Row],[_LeafWork]]=0,0,Tasks[[#This Row],[_LeafWork]]*IFERROR(INDEX(res_Rate,MATCH(Tasks[[#This Row],[Resource]],res_Name,0)),0))</f>
        <v>0</v>
      </c>
      <c r="CN75" s="41" t="n">
        <f aca="false">Tasks[[#This Row],[_LeafWork]]+IF(Tasks[[#This Row],[_IsLeaf]]=1,SUMIFS(asg_Work,asg_TaskUID,Tasks[[#This Row],[UID]],asg_Valid,1),0)</f>
        <v>0</v>
      </c>
      <c r="CO75" s="41" t="n">
        <f aca="false">Tasks[[#This Row],[_LeafCost]]+IF(Tasks[[#This Row],[_IsLeaf]]=1,SUMIFS(asg_Cost,asg_TaskUID,Tasks[[#This Row],[UID]],asg_Valid,1),0)</f>
        <v>0</v>
      </c>
      <c r="CP75" s="41" t="n">
        <f aca="false">IF(Tasks[[#This Row],[_LeafTotalCost]]=0,Tasks[[#This Row],[_LeafAC]],Tasks[[#This Row],[_LeafAC]]*Tasks[[#This Row],[_LeafCost]]/Tasks[[#This Row],[_LeafTotalCost]])</f>
        <v>0</v>
      </c>
      <c r="CQ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5" s="41" t="n">
        <f aca="false">IF(NOT(Tasks[[#This Row],[_IsLeaf]]=1),0,MAX(_xlfn.MAXIFS(Tasks[_Row],Tasks[Pred1 UID],Tasks[[#This Row],[UID]]),_xlfn.MAXIFS(Tasks[_Row],Tasks[Pred2 UID],Tasks[[#This Row],[UID]]),_xlfn.MAXIFS(Tasks[_Row],Tasks[Pred3 UID],Tasks[[#This Row],[UID]]),_xlfn.MAXIFS(Tasks[_Row],Tasks[Pred4 UID],Tasks[[#This Row],[UID]])))</f>
        <v>0</v>
      </c>
      <c r="CZ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5" s="101" t="str">
        <f aca="false">IF(NOT(Tasks[[#This Row],[_IsLeaf]]=1),"",IF(N(Tasks[[#This Row],[Duration]])&lt;=0,Tasks[[#This Row],[_LeafLateFinish]],WORKDAY.INTL(Tasks[[#This Row],[_LeafLateFinish]],-(Tasks[[#This Row],[Duration]]-1),WorkWeek,Holidays)))</f>
        <v/>
      </c>
      <c r="DC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5" s="100" t="b">
        <f aca="false">AND(Tasks[[#This Row],[_IsLeaf]]=1,Tasks[[#This Row],[_LeafProgress]]&lt;1,N(Tasks[[#This Row],[_LeafTotalSlack]])&lt;=CriticalSlackDays)</f>
        <v>0</v>
      </c>
      <c r="DE75" s="41" t="n">
        <f aca="false">IF(AND(Tasks[[#This Row],[_IsLeaf]]=1,Tasks[[#This Row],[_ConstraintCode]]=1,Tasks[[#This Row],[Mode]]&lt;&gt;"Manual",N(Tasks[[#This Row],[Actual Start]])=0),MAX(0,N(Tasks[[#This Row],[Free Slack]])),0)</f>
        <v>0</v>
      </c>
      <c r="DF75" s="101" t="str">
        <f aca="false">IF(NOT(Tasks[[#This Row],[_IsLeaf]]=1),"",IF(Tasks[[#This Row],[_AlapShift]]=0,Tasks[[#This Row],[_LeafCalcStart]],WORKDAY.INTL(Tasks[[#This Row],[_LeafCalcStart]],Tasks[[#This Row],[_AlapShift]],WorkWeek,Holidays)))</f>
        <v/>
      </c>
      <c r="DG75" s="101" t="str">
        <f aca="false">IF(NOT(Tasks[[#This Row],[_IsLeaf]]=1),"",IF(Tasks[[#This Row],[_AlapShift]]=0,Tasks[[#This Row],[_LeafCalcFinish]],WORKDAY.INTL(Tasks[[#This Row],[_LeafCalcFinish]],Tasks[[#This Row],[_AlapShift]],WorkWeek,Holidays)))</f>
        <v/>
      </c>
      <c r="DH75" s="101" t="str">
        <f aca="false">IF(NOT(Tasks[[#This Row],[_IsLeaf]]=1),"",IF(Tasks[[#This Row],[_AlapShift]]=0,Tasks[[#This Row],[_LeafFcstStart]],WORKDAY.INTL(Tasks[[#This Row],[_LeafFcstStart]],Tasks[[#This Row],[_AlapShift]],WorkWeek,Holidays)))</f>
        <v/>
      </c>
      <c r="DI75" s="101" t="str">
        <f aca="false">IF(NOT(Tasks[[#This Row],[_IsLeaf]]=1),"",IF(Tasks[[#This Row],[_AlapShift]]=0,Tasks[[#This Row],[_LeafFcstFinish]],WORKDAY.INTL(Tasks[[#This Row],[_LeafFcstFinish]],Tasks[[#This Row],[_AlapShift]],WorkWeek,Holidays)))</f>
        <v/>
      </c>
      <c r="DJ75" s="101" t="str">
        <f aca="false">IF(Tasks[[#This Row],[Task Name]]="","",IF(Tasks[[#This Row],[_IsSummary]],MIN(INDEX(Tasks[_ShownCalcStart],Tasks[[#This Row],[_Row]]+1):INDEX(Tasks[_ShownCalcStart],Tasks[[#This Row],[_Row]]+Tasks[[#This Row],[_Descendants]])),Tasks[[#This Row],[_ShownCalcStart]]))</f>
        <v/>
      </c>
      <c r="DK75" s="101" t="str">
        <f aca="false">IF(Tasks[[#This Row],[Task Name]]="","",IF(Tasks[[#This Row],[_IsSummary]],MAX(INDEX(Tasks[_ShownCalcFinish],Tasks[[#This Row],[_Row]]+1):INDEX(Tasks[_ShownCalcFinish],Tasks[[#This Row],[_Row]]+Tasks[[#This Row],[_Descendants]])),Tasks[[#This Row],[_ShownCalcFinish]]))</f>
        <v/>
      </c>
      <c r="D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5" s="41" t="n">
        <f aca="false">IF(AND(Tasks[[#This Row],[_IsLeaf]]=1,Tasks[[#This Row],[_LeafTotalWork]]&gt;0),NETWORKDAYS.INTL(ProjectStart,Tasks[[#This Row],[_ShownFcstStart]],WorkWeek,Holidays),0)</f>
        <v>0</v>
      </c>
      <c r="DY75" s="41" t="n">
        <f aca="false">IF(AND(Tasks[[#This Row],[_IsLeaf]]=1,Tasks[[#This Row],[_LeafTotalWork]]&gt;0),MAX(Tasks[[#This Row],[_StartWorkday]],NETWORKDAYS.INTL(ProjectStart,Tasks[[#This Row],[_ShownFcstFinish]],WorkWeek,Holidays)),0)</f>
        <v>0</v>
      </c>
      <c r="DZ75" s="41" t="n">
        <f aca="false">IF(AND(Tasks[[#This Row],[_IsLeaf]]=1,Tasks[[#This Row],[_LeafTotalWork]]&gt;0),Tasks[[#This Row],[_LeafWork]]/(Tasks[[#This Row],[_FinishWorkday]]-Tasks[[#This Row],[_StartWorkday]]+1),0)</f>
        <v>0</v>
      </c>
      <c r="EA75" s="41" t="n">
        <f aca="false">Tasks[[#This Row],[_WorkPerWorkday]]*(Tasks[[#This Row],[_StartWorkday]]-1)</f>
        <v>-0</v>
      </c>
      <c r="EB75" s="41" t="n">
        <f aca="false">IF(Tasks[[#This Row],[_IsLeaf]]=1,MAX(N(Tasks[[#This Row],[Duration]]),0.1),0)</f>
        <v>0</v>
      </c>
      <c r="EC75" s="41" t="n">
        <f aca="false">Tasks[[#This Row],[_WeightDur]]*Tasks[[#This Row],[_LeafProgress]]</f>
        <v>0</v>
      </c>
      <c r="ED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5" s="41" t="str">
        <f aca="false">IF(AND(Tasks[[#This Row],[_IsLeaf]]=1,N(Tasks[[#This Row],[Duration]])=0,Tasks[[#This Row],[_LeafProgress]]&lt;1),Tasks[[#This Row],[_ShownFcstFinish]]+Tasks[[#This Row],[_Row]]/100000,"")</f>
        <v/>
      </c>
      <c r="EF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5" s="41" t="n">
        <f aca="false">IF(NOT(Tasks[[#This Row],[_IsLeaf]]=1),0,IF(Tasks[[#This Row],[Baseline Cost]]="",Tasks[[#This Row],[_LeafTotalCost]],N(Tasks[[#This Row],[Baseline Cost]])))</f>
        <v>0</v>
      </c>
      <c r="EH75" s="41" t="n">
        <f aca="false">Tasks[[#This Row],[_LeafBudget]]*Tasks[[#This Row],[_PlannedPct]]</f>
        <v>0</v>
      </c>
      <c r="EI75" s="41" t="n">
        <f aca="false">Tasks[[#This Row],[_LeafBudget]]*Tasks[[#This Row],[_LeafProgress]]</f>
        <v>0</v>
      </c>
      <c r="EJ75" s="41" t="n">
        <f aca="false">IF(NOT(Tasks[[#This Row],[_IsLeaf]]=1),0,IF(Tasks[[#This Row],[Actual Cost]]="",Tasks[[#This Row],[_LeafTotalCost]]*Tasks[[#This Row],[_LeafProgress]],N(Tasks[[#This Row],[Actual Cost]])))</f>
        <v>0</v>
      </c>
      <c r="EK75" s="41" t="str">
        <f aca="false">IF(Tasks[[#This Row],[Task Name]]="","",LEFT(Tasks[[#This Row],[WBS]],FIND(".",Tasks[[#This Row],[WBS]]&amp;".")-1))</f>
        <v/>
      </c>
      <c r="EL75" s="41" t="str">
        <f aca="false">IF(AND(Tasks[[#This Row],[Task Name]]&lt;&gt;"",Tasks[[#This Row],[_Level]]=1),Tasks[[#This Row],[_Row]],"")</f>
        <v/>
      </c>
      <c r="EM75" s="41" t="str">
        <f aca="false">IF(AND(Tasks[[#This Row],[_IsLeaf]]=1,N(Tasks[[#This Row],[Duration]])=0),Tasks[[#This Row],[Planned Finish]]+Tasks[[#This Row],[_Row]]/100000,"")</f>
        <v/>
      </c>
      <c r="EN75" s="41" t="str">
        <f aca="false">IF(AND(Tasks[[#This Row],[_IsLeaf]]=1,Tasks[[#This Row],[_LeafProgress]]&lt;1,OR(N(Tasks[[#This Row],[Finish Var]])&gt;0,Tasks[[#This Row],[Status]]="Late Start")),MAX(0,Tasks[[#This Row],[Finish Var]])+1-Tasks[[#This Row],[_Row]]/1000000,"")</f>
        <v/>
      </c>
      <c r="EO75" s="41" t="str">
        <f aca="false">IF(AND(Tasks[[#This Row],[_IsLeaf]]=1,N(Tasks[[#This Row],[Actual Start]])=0,Tasks[[#This Row],[_ShownFcstStart]]&gt;=StatusDate,Tasks[[#This Row],[_ShownFcstStart]]&lt;=LookaheadEnd),Tasks[[#This Row],[_ShownFcstStart]]+Tasks[[#This Row],[_Row]]/100000,"")</f>
        <v/>
      </c>
      <c r="EP75" s="41" t="str">
        <f aca="false">IF(AND(Tasks[[#This Row],[_IsLeaf]]=1,Tasks[[#This Row],[_LeafProgress]]&lt;1,Tasks[[#This Row],[_ShownFcstFinish]]&gt;=StatusDate,Tasks[[#This Row],[_ShownFcstFinish]]&lt;=LookaheadEnd),Tasks[[#This Row],[_ShownFcstFinish]]+Tasks[[#This Row],[_Row]]/100000,"")</f>
        <v/>
      </c>
      <c r="EQ75" s="41" t="str">
        <f aca="false">IF(Tasks[[#This Row],[_LeafCritical]],Tasks[[#This Row],[_ShownFcstStart]]+Tasks[[#This Row],[_Row]]/100000,"")</f>
        <v/>
      </c>
      <c r="ER75" s="41" t="n">
        <f aca="false">Tasks[[#This Row],[_LeafWork]]*Tasks[[#This Row],[_LeafProgress]]</f>
        <v>0</v>
      </c>
      <c r="ES75" s="101" t="str">
        <f aca="false">IF(AND(Tasks[[#This Row],[_IsLeaf]]=1,Tasks[[#This Row],[_LeafProgress]]&gt;=1),IF(N(Tasks[[#This Row],[Actual Finish]])&gt;0,Tasks[[#This Row],[Actual Finish]],Tasks[[#This Row],[_ShownFcstFinish]]),"")</f>
        <v/>
      </c>
      <c r="ET75" s="41" t="n">
        <f aca="false">IF(Tasks[[#This Row],[_IsLeaf]]=1,N(Tasks[[#This Row],[Story Points]]),0)</f>
        <v>0</v>
      </c>
      <c r="EU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29"/>
      <c r="O76" s="29"/>
      <c r="P76" s="29"/>
      <c r="Q76" s="29"/>
      <c r="R76" s="29"/>
      <c r="S76" s="29"/>
      <c r="T76" s="30"/>
      <c r="U76" s="75"/>
      <c r="V76" s="75"/>
      <c r="W76" s="25" t="str">
        <f aca="false">IF(Tasks[[#This Row],[Task Name]]="","",IF(N(Tasks[[#This Row],[Baseline Start]])&gt;0,Tasks[[#This Row],[Baseline Start]],Tasks[[#This Row],[_CalcStart]]))</f>
        <v/>
      </c>
      <c r="X76" s="25" t="str">
        <f aca="false">IF(Tasks[[#This Row],[Task Name]]="","",IF(N(Tasks[[#This Row],[Baseline Finish]])&gt;0,Tasks[[#This Row],[Baseline Finish]],Tasks[[#This Row],[_CalcFinish]]))</f>
        <v/>
      </c>
      <c r="Y76" s="75"/>
      <c r="Z76" s="75"/>
      <c r="AA76" s="25" t="str">
        <f aca="false">IF(Tasks[[#This Row],[Task Name]]="","",IF(Tasks[[#This Row],[_IsSummary]],MIN(INDEX(Tasks[_ShownFcstStart],Tasks[[#This Row],[_Row]]+1):INDEX(Tasks[_ShownFcstStart],Tasks[[#This Row],[_Row]]+Tasks[[#This Row],[_Descendants]])),Tasks[[#This Row],[_ShownFcstStart]]))</f>
        <v/>
      </c>
      <c r="AB76" s="25" t="str">
        <f aca="false">IF(Tasks[[#This Row],[Task Name]]="","",IF(Tasks[[#This Row],[_IsSummary]],MAX(INDEX(Tasks[_ShownFcstFinish],Tasks[[#This Row],[_Row]]+1):INDEX(Tasks[_ShownFcstFinish],Tasks[[#This Row],[_Row]]+Tasks[[#This Row],[_Descendants]])),Tasks[[#This Row],[_ShownFcstFinish]]))</f>
        <v/>
      </c>
      <c r="AC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6" s="25" t="str">
        <f aca="false">IF(Tasks[[#This Row],[Task Name]]="","",IF(Tasks[[#This Row],[_IsSummary]],MIN(INDEX(Tasks[_LeafLateStart],Tasks[[#This Row],[_Row]]+1):INDEX(Tasks[_LeafLateStart],Tasks[[#This Row],[_Row]]+Tasks[[#This Row],[_Descendants]])),Tasks[[#This Row],[_LeafLateStart]]))</f>
        <v/>
      </c>
      <c r="AF76" s="25" t="str">
        <f aca="false">IF(Tasks[[#This Row],[Task Name]]="","",IF(Tasks[[#This Row],[_IsSummary]],MAX(INDEX(Tasks[_LeafLateFinish],Tasks[[#This Row],[_Row]]+1):INDEX(Tasks[_LeafLateFinish],Tasks[[#This Row],[_Row]]+Tasks[[#This Row],[_Descendants]])),Tasks[[#This Row],[_LeafLateFinish]]))</f>
        <v/>
      </c>
      <c r="AG76" s="28" t="str">
        <f aca="false">IF(Tasks[[#This Row],[Task Name]]="","",IF(Tasks[[#This Row],[_IsSummary]],MIN(INDEX(Tasks[_LeafTotalSlack],Tasks[[#This Row],[_Row]]+1):INDEX(Tasks[_LeafTotalSlack],Tasks[[#This Row],[_Row]]+Tasks[[#This Row],[_Descendants]])),Tasks[[#This Row],[_LeafTotalSlack]]))</f>
        <v/>
      </c>
      <c r="AH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6" s="28" t="str">
        <f aca="false">IF(Tasks[[#This Row],[Task Name]]="","",IF(IF(Tasks[[#This Row],[_IsSummary]],COUNTIF(INDEX(Tasks[_LeafCritical],Tasks[[#This Row],[_Row]]+1):INDEX(Tasks[_LeafCritical],Tasks[[#This Row],[_Row]]+Tasks[[#This Row],[_Descendants]]),TRUE())&gt;0,Tasks[[#This Row],[_LeafCritical]]),"Yes",""))</f>
        <v/>
      </c>
      <c r="AJ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6" s="89"/>
      <c r="AM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6" s="28" t="str">
        <f aca="false">IF(Tasks[[#This Row],[Task Name]]="","",IF(Tasks[[#This Row],[Progress]]&gt;=1,"Complete",IF(OR(N(Tasks[[#This Row],[Actual Start]])&gt;0,Tasks[[#This Row],[Progress]]&gt;0),IF(Tasks[[#This Row],[Finish Var]]&gt;0,"Behind","In Progress"),IF(Tasks[[#This Row],[Planned Start]]&lt;StatusDate,"Late Start","Not Started"))))</f>
        <v/>
      </c>
      <c r="AO76" s="30"/>
      <c r="AP76" s="89"/>
      <c r="AQ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6" s="96" t="str">
        <f aca="false">IF(Tasks[[#This Row],[Task Name]]="","",IF(Tasks[[#This Row],[_IsSummary]],SUM(INDEX(Tasks[_LeafTotalWork],Tasks[[#This Row],[_Row]]+1):INDEX(Tasks[_LeafTotalWork],Tasks[[#This Row],[_Row]]+Tasks[[#This Row],[_Descendants]])),Tasks[[#This Row],[_LeafTotalWork]]))</f>
        <v/>
      </c>
      <c r="AT76" s="97" t="str">
        <f aca="false">IF(Tasks[[#This Row],[Task Name]]="","",IF(Tasks[[#This Row],[_IsSummary]],SUM(INDEX(Tasks[_LeafTotalCost],Tasks[[#This Row],[_Row]]+1):INDEX(Tasks[_LeafTotalCost],Tasks[[#This Row],[_Row]]+Tasks[[#This Row],[_Descendants]])),Tasks[[#This Row],[_LeafTotalCost]]))</f>
        <v/>
      </c>
      <c r="AU76" s="98"/>
      <c r="AV76" s="29"/>
      <c r="AW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6" s="83"/>
      <c r="AY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6" s="30"/>
      <c r="BA76" s="25" t="str">
        <f aca="false">IF(Tasks[[#This Row],[Task Name]]="","",Tasks[[#This Row],[Forecast Start]])</f>
        <v/>
      </c>
      <c r="BB76" s="25" t="str">
        <f aca="false">IF(Tasks[[#This Row],[Task Name]]="","",Tasks[[#This Row],[Forecast Finish]])</f>
        <v/>
      </c>
      <c r="BC76" s="28" t="str">
        <f aca="false">IF(Tasks[[#This Row],[Task Name]]="","",IF(Tasks[[#This Row],[_IsSummary]],NETWORKDAYS.INTL(Tasks[[#This Row],[Forecast Start]],Tasks[[#This Row],[Forecast Finish]],WorkWeek,Holidays),N(Tasks[[#This Row],[Duration]])))</f>
        <v/>
      </c>
      <c r="BD76" s="96" t="str">
        <f aca="false">IF(Tasks[[#This Row],[Task Name]]="","",Tasks[[#This Row],[Work]])</f>
        <v/>
      </c>
      <c r="BE76" s="97" t="str">
        <f aca="false">IF(Tasks[[#This Row],[Task Name]]="","",Tasks[[#This Row],[Cost]])</f>
        <v/>
      </c>
      <c r="BF76" s="75"/>
      <c r="BG76" s="75"/>
      <c r="BH76" s="29"/>
      <c r="BI76" s="99"/>
      <c r="BJ76" s="98"/>
      <c r="BK76" s="28" t="str">
        <f aca="false">IF(OR(Tasks[[#This Row],[Task Name]]="",Tasks[[#This Row],[Baseline Duration]]=""),"",Tasks[[#This Row],[BL Source Duration]]-N(Tasks[[#This Row],[Baseline Duration]]))</f>
        <v/>
      </c>
      <c r="BL76" s="96" t="str">
        <f aca="false">IF(OR(Tasks[[#This Row],[Task Name]]="",Tasks[[#This Row],[Baseline Work]]=""),"",Tasks[[#This Row],[Work]]-N(Tasks[[#This Row],[Baseline Work]]))</f>
        <v/>
      </c>
      <c r="BM76" s="97" t="str">
        <f aca="false">IF(OR(Tasks[[#This Row],[Task Name]]="",Tasks[[#This Row],[Baseline Cost]]=""),"",Tasks[[#This Row],[Cost]]-N(Tasks[[#This Row],[Baseline Cost]]))</f>
        <v/>
      </c>
      <c r="BN76" s="97" t="str">
        <f aca="false">IF(Tasks[[#This Row],[Task Name]]="","",IF(Tasks[[#This Row],[_IsSummary]],SUM(INDEX(Tasks[_LeafBudget],Tasks[[#This Row],[_Row]]+1):INDEX(Tasks[_LeafBudget],Tasks[[#This Row],[_Row]]+Tasks[[#This Row],[_Descendants]])),Tasks[[#This Row],[_LeafBudget]]))</f>
        <v/>
      </c>
      <c r="BO76" s="97" t="str">
        <f aca="false">IF(Tasks[[#This Row],[Task Name]]="","",IF(Tasks[[#This Row],[_IsSummary]],SUM(INDEX(Tasks[_LeafPV],Tasks[[#This Row],[_Row]]+1):INDEX(Tasks[_LeafPV],Tasks[[#This Row],[_Row]]+Tasks[[#This Row],[_Descendants]])),Tasks[[#This Row],[_LeafPV]]))</f>
        <v/>
      </c>
      <c r="BP76" s="97" t="str">
        <f aca="false">IF(Tasks[[#This Row],[Task Name]]="","",IF(Tasks[[#This Row],[_IsSummary]],SUM(INDEX(Tasks[_LeafEV],Tasks[[#This Row],[_Row]]+1):INDEX(Tasks[_LeafEV],Tasks[[#This Row],[_Row]]+Tasks[[#This Row],[_Descendants]])),Tasks[[#This Row],[_LeafEV]]))</f>
        <v/>
      </c>
      <c r="BQ76" s="97" t="str">
        <f aca="false">IF(Tasks[[#This Row],[Task Name]]="","",IF(Tasks[[#This Row],[_IsSummary]],SUM(INDEX(Tasks[_LeafAC],Tasks[[#This Row],[_Row]]+1):INDEX(Tasks[_LeafAC],Tasks[[#This Row],[_Row]]+Tasks[[#This Row],[_Descendants]])),Tasks[[#This Row],[_LeafAC]]))</f>
        <v/>
      </c>
      <c r="BR76" s="41" t="str">
        <f aca="false">IF(Tasks[[#This Row],[Task Name]]="","",MAX(1,N(Tasks[[#This Row],[Level]])))</f>
        <v/>
      </c>
      <c r="BS76" s="41" t="n">
        <f aca="false">ROW()-ROW(Tasks[[#Headers],[ID]])</f>
        <v>71</v>
      </c>
      <c r="BT76" s="41" t="n">
        <f aca="false">IF(OR(Tasks[[#This Row],[Task Name]]="",Tasks[[#This Row],[_Level]]&lt;=1),0,IFERROR(LOOKUP(2,1/(Tasks[[#Headers],[_Level]]:Tasks[[#This Row],[_Level]]=Tasks[[#This Row],[_Level]]-1),ROW(Tasks[[#Headers],[_Level]]:Tasks[[#This Row],[_Level]])),0))</f>
        <v>0</v>
      </c>
      <c r="BU76" s="41" t="n">
        <f aca="false">IFERROR(N(INDEX(Tasks[_Level],Tasks[[#This Row],[_Row]]+1)),0)</f>
        <v>0</v>
      </c>
      <c r="BV76" s="100" t="b">
        <f aca="false">AND(Tasks[[#This Row],[Task Name]]&lt;&gt;"",Tasks[[#This Row],[_NextLevel]]&gt;Tasks[[#This Row],[_Level]])</f>
        <v>0</v>
      </c>
      <c r="BW76" s="41" t="n">
        <f aca="false">IF(Tasks[[#This Row],[_IsSummary]],COUNTIF(Tasks[WBS],Tasks[[#This Row],[WBS]]&amp;".*"),0)</f>
        <v>0</v>
      </c>
      <c r="BX76" s="41" t="n">
        <f aca="false">IF(AND(Tasks[[#This Row],[Task Name]]&lt;&gt;"",NOT(Tasks[[#This Row],[_IsSummary]])),1,0)</f>
        <v>0</v>
      </c>
      <c r="BY76" s="41" t="n">
        <f aca="false">IF(N(Tasks[[#This Row],[Pred1 UID]])=0,0,IFERROR(MATCH(Tasks[[#This Row],[Pred1 UID]],Tasks[UID],0),-1))</f>
        <v>0</v>
      </c>
      <c r="BZ76" s="41" t="n">
        <f aca="false">IF(N(Tasks[[#This Row],[Pred2 UID]])=0,0,IFERROR(MATCH(Tasks[[#This Row],[Pred2 UID]],Tasks[UID],0),-1))</f>
        <v>0</v>
      </c>
      <c r="CA76" s="41" t="n">
        <f aca="false">IF(N(Tasks[[#This Row],[Pred3 UID]])=0,0,IFERROR(MATCH(Tasks[[#This Row],[Pred3 UID]],Tasks[UID],0),-1))</f>
        <v>0</v>
      </c>
      <c r="CB76" s="41" t="n">
        <f aca="false">IF(N(Tasks[[#This Row],[Pred4 UID]])=0,0,IFERROR(MATCH(Tasks[[#This Row],[Pred4 UID]],Tasks[UID],0),-1))</f>
        <v>0</v>
      </c>
      <c r="CC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6" s="101" t="n">
        <f aca="false">IF(OR(Tasks[[#This Row],[_ConstraintCode]]=2,Tasks[[#This Row],[_ConstraintCode]]=3,Tasks[[#This Row],[_ConstraintCode]]=4,Tasks[[#This Row],[_ConstraintCode]]=6),Tasks[[#This Row],[_ConstraintStart]],0)</f>
        <v>0</v>
      </c>
      <c r="CF76" s="101" t="n">
        <f aca="false">IF(OR(Tasks[[#This Row],[_ConstraintCode]]=2,Tasks[[#This Row],[_ConstraintCode]]=3,Tasks[[#This Row],[_ConstraintCode]]=5,Tasks[[#This Row],[_ConstraintCode]]=7),Tasks[[#This Row],[_ConstraintStart]],2958465)</f>
        <v>2958465</v>
      </c>
      <c r="CG7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6" s="101" t="str">
        <f aca="false">IF(NOT(Tasks[[#This Row],[_IsLeaf]]=1),"",IF(N(Tasks[[#This Row],[Duration]])&lt;=0,Tasks[[#This Row],[_LeafCalcStart]],WORKDAY.INTL(Tasks[[#This Row],[_LeafCalcStart]],Tasks[[#This Row],[Duration]]-1,WorkWeek,Holidays)))</f>
        <v/>
      </c>
      <c r="CI7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6" s="41" t="n">
        <f aca="false">IF(NOT(Tasks[[#This Row],[_IsLeaf]]=1),0,IF(N(Tasks[[#This Row],[Actual Finish]])&gt;0,1,MIN(1,N(Tasks[[#This Row],[% Complete]]))))</f>
        <v>0</v>
      </c>
      <c r="CL76" s="41" t="n">
        <f aca="false">IF(OR(NOT(Tasks[[#This Row],[_IsLeaf]]=1),Tasks[[#This Row],[Resource]]=""),0,N(Tasks[[#This Row],[Duration]])*HoursPerDay*IF(Tasks[[#This Row],[Units]]="",DefaultUnits,Tasks[[#This Row],[Units]]))</f>
        <v>0</v>
      </c>
      <c r="CM76" s="41" t="n">
        <f aca="false">IF(Tasks[[#This Row],[_LeafWork]]=0,0,Tasks[[#This Row],[_LeafWork]]*IFERROR(INDEX(res_Rate,MATCH(Tasks[[#This Row],[Resource]],res_Name,0)),0))</f>
        <v>0</v>
      </c>
      <c r="CN76" s="41" t="n">
        <f aca="false">Tasks[[#This Row],[_LeafWork]]+IF(Tasks[[#This Row],[_IsLeaf]]=1,SUMIFS(asg_Work,asg_TaskUID,Tasks[[#This Row],[UID]],asg_Valid,1),0)</f>
        <v>0</v>
      </c>
      <c r="CO76" s="41" t="n">
        <f aca="false">Tasks[[#This Row],[_LeafCost]]+IF(Tasks[[#This Row],[_IsLeaf]]=1,SUMIFS(asg_Cost,asg_TaskUID,Tasks[[#This Row],[UID]],asg_Valid,1),0)</f>
        <v>0</v>
      </c>
      <c r="CP76" s="41" t="n">
        <f aca="false">IF(Tasks[[#This Row],[_LeafTotalCost]]=0,Tasks[[#This Row],[_LeafAC]],Tasks[[#This Row],[_LeafAC]]*Tasks[[#This Row],[_LeafCost]]/Tasks[[#This Row],[_LeafTotalCost]])</f>
        <v>0</v>
      </c>
      <c r="CQ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6" s="41" t="n">
        <f aca="false">IF(NOT(Tasks[[#This Row],[_IsLeaf]]=1),0,MAX(_xlfn.MAXIFS(Tasks[_Row],Tasks[Pred1 UID],Tasks[[#This Row],[UID]]),_xlfn.MAXIFS(Tasks[_Row],Tasks[Pred2 UID],Tasks[[#This Row],[UID]]),_xlfn.MAXIFS(Tasks[_Row],Tasks[Pred3 UID],Tasks[[#This Row],[UID]]),_xlfn.MAXIFS(Tasks[_Row],Tasks[Pred4 UID],Tasks[[#This Row],[UID]])))</f>
        <v>0</v>
      </c>
      <c r="CZ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6" s="101" t="str">
        <f aca="false">IF(NOT(Tasks[[#This Row],[_IsLeaf]]=1),"",IF(N(Tasks[[#This Row],[Duration]])&lt;=0,Tasks[[#This Row],[_LeafLateFinish]],WORKDAY.INTL(Tasks[[#This Row],[_LeafLateFinish]],-(Tasks[[#This Row],[Duration]]-1),WorkWeek,Holidays)))</f>
        <v/>
      </c>
      <c r="DC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6" s="100" t="b">
        <f aca="false">AND(Tasks[[#This Row],[_IsLeaf]]=1,Tasks[[#This Row],[_LeafProgress]]&lt;1,N(Tasks[[#This Row],[_LeafTotalSlack]])&lt;=CriticalSlackDays)</f>
        <v>0</v>
      </c>
      <c r="DE76" s="41" t="n">
        <f aca="false">IF(AND(Tasks[[#This Row],[_IsLeaf]]=1,Tasks[[#This Row],[_ConstraintCode]]=1,Tasks[[#This Row],[Mode]]&lt;&gt;"Manual",N(Tasks[[#This Row],[Actual Start]])=0),MAX(0,N(Tasks[[#This Row],[Free Slack]])),0)</f>
        <v>0</v>
      </c>
      <c r="DF76" s="101" t="str">
        <f aca="false">IF(NOT(Tasks[[#This Row],[_IsLeaf]]=1),"",IF(Tasks[[#This Row],[_AlapShift]]=0,Tasks[[#This Row],[_LeafCalcStart]],WORKDAY.INTL(Tasks[[#This Row],[_LeafCalcStart]],Tasks[[#This Row],[_AlapShift]],WorkWeek,Holidays)))</f>
        <v/>
      </c>
      <c r="DG76" s="101" t="str">
        <f aca="false">IF(NOT(Tasks[[#This Row],[_IsLeaf]]=1),"",IF(Tasks[[#This Row],[_AlapShift]]=0,Tasks[[#This Row],[_LeafCalcFinish]],WORKDAY.INTL(Tasks[[#This Row],[_LeafCalcFinish]],Tasks[[#This Row],[_AlapShift]],WorkWeek,Holidays)))</f>
        <v/>
      </c>
      <c r="DH76" s="101" t="str">
        <f aca="false">IF(NOT(Tasks[[#This Row],[_IsLeaf]]=1),"",IF(Tasks[[#This Row],[_AlapShift]]=0,Tasks[[#This Row],[_LeafFcstStart]],WORKDAY.INTL(Tasks[[#This Row],[_LeafFcstStart]],Tasks[[#This Row],[_AlapShift]],WorkWeek,Holidays)))</f>
        <v/>
      </c>
      <c r="DI76" s="101" t="str">
        <f aca="false">IF(NOT(Tasks[[#This Row],[_IsLeaf]]=1),"",IF(Tasks[[#This Row],[_AlapShift]]=0,Tasks[[#This Row],[_LeafFcstFinish]],WORKDAY.INTL(Tasks[[#This Row],[_LeafFcstFinish]],Tasks[[#This Row],[_AlapShift]],WorkWeek,Holidays)))</f>
        <v/>
      </c>
      <c r="DJ76" s="101" t="str">
        <f aca="false">IF(Tasks[[#This Row],[Task Name]]="","",IF(Tasks[[#This Row],[_IsSummary]],MIN(INDEX(Tasks[_ShownCalcStart],Tasks[[#This Row],[_Row]]+1):INDEX(Tasks[_ShownCalcStart],Tasks[[#This Row],[_Row]]+Tasks[[#This Row],[_Descendants]])),Tasks[[#This Row],[_ShownCalcStart]]))</f>
        <v/>
      </c>
      <c r="DK76" s="101" t="str">
        <f aca="false">IF(Tasks[[#This Row],[Task Name]]="","",IF(Tasks[[#This Row],[_IsSummary]],MAX(INDEX(Tasks[_ShownCalcFinish],Tasks[[#This Row],[_Row]]+1):INDEX(Tasks[_ShownCalcFinish],Tasks[[#This Row],[_Row]]+Tasks[[#This Row],[_Descendants]])),Tasks[[#This Row],[_ShownCalcFinish]]))</f>
        <v/>
      </c>
      <c r="D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6" s="41" t="n">
        <f aca="false">IF(AND(Tasks[[#This Row],[_IsLeaf]]=1,Tasks[[#This Row],[_LeafTotalWork]]&gt;0),NETWORKDAYS.INTL(ProjectStart,Tasks[[#This Row],[_ShownFcstStart]],WorkWeek,Holidays),0)</f>
        <v>0</v>
      </c>
      <c r="DY76" s="41" t="n">
        <f aca="false">IF(AND(Tasks[[#This Row],[_IsLeaf]]=1,Tasks[[#This Row],[_LeafTotalWork]]&gt;0),MAX(Tasks[[#This Row],[_StartWorkday]],NETWORKDAYS.INTL(ProjectStart,Tasks[[#This Row],[_ShownFcstFinish]],WorkWeek,Holidays)),0)</f>
        <v>0</v>
      </c>
      <c r="DZ76" s="41" t="n">
        <f aca="false">IF(AND(Tasks[[#This Row],[_IsLeaf]]=1,Tasks[[#This Row],[_LeafTotalWork]]&gt;0),Tasks[[#This Row],[_LeafWork]]/(Tasks[[#This Row],[_FinishWorkday]]-Tasks[[#This Row],[_StartWorkday]]+1),0)</f>
        <v>0</v>
      </c>
      <c r="EA76" s="41" t="n">
        <f aca="false">Tasks[[#This Row],[_WorkPerWorkday]]*(Tasks[[#This Row],[_StartWorkday]]-1)</f>
        <v>-0</v>
      </c>
      <c r="EB76" s="41" t="n">
        <f aca="false">IF(Tasks[[#This Row],[_IsLeaf]]=1,MAX(N(Tasks[[#This Row],[Duration]]),0.1),0)</f>
        <v>0</v>
      </c>
      <c r="EC76" s="41" t="n">
        <f aca="false">Tasks[[#This Row],[_WeightDur]]*Tasks[[#This Row],[_LeafProgress]]</f>
        <v>0</v>
      </c>
      <c r="ED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6" s="41" t="str">
        <f aca="false">IF(AND(Tasks[[#This Row],[_IsLeaf]]=1,N(Tasks[[#This Row],[Duration]])=0,Tasks[[#This Row],[_LeafProgress]]&lt;1),Tasks[[#This Row],[_ShownFcstFinish]]+Tasks[[#This Row],[_Row]]/100000,"")</f>
        <v/>
      </c>
      <c r="EF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6" s="41" t="n">
        <f aca="false">IF(NOT(Tasks[[#This Row],[_IsLeaf]]=1),0,IF(Tasks[[#This Row],[Baseline Cost]]="",Tasks[[#This Row],[_LeafTotalCost]],N(Tasks[[#This Row],[Baseline Cost]])))</f>
        <v>0</v>
      </c>
      <c r="EH76" s="41" t="n">
        <f aca="false">Tasks[[#This Row],[_LeafBudget]]*Tasks[[#This Row],[_PlannedPct]]</f>
        <v>0</v>
      </c>
      <c r="EI76" s="41" t="n">
        <f aca="false">Tasks[[#This Row],[_LeafBudget]]*Tasks[[#This Row],[_LeafProgress]]</f>
        <v>0</v>
      </c>
      <c r="EJ76" s="41" t="n">
        <f aca="false">IF(NOT(Tasks[[#This Row],[_IsLeaf]]=1),0,IF(Tasks[[#This Row],[Actual Cost]]="",Tasks[[#This Row],[_LeafTotalCost]]*Tasks[[#This Row],[_LeafProgress]],N(Tasks[[#This Row],[Actual Cost]])))</f>
        <v>0</v>
      </c>
      <c r="EK76" s="41" t="str">
        <f aca="false">IF(Tasks[[#This Row],[Task Name]]="","",LEFT(Tasks[[#This Row],[WBS]],FIND(".",Tasks[[#This Row],[WBS]]&amp;".")-1))</f>
        <v/>
      </c>
      <c r="EL76" s="41" t="str">
        <f aca="false">IF(AND(Tasks[[#This Row],[Task Name]]&lt;&gt;"",Tasks[[#This Row],[_Level]]=1),Tasks[[#This Row],[_Row]],"")</f>
        <v/>
      </c>
      <c r="EM76" s="41" t="str">
        <f aca="false">IF(AND(Tasks[[#This Row],[_IsLeaf]]=1,N(Tasks[[#This Row],[Duration]])=0),Tasks[[#This Row],[Planned Finish]]+Tasks[[#This Row],[_Row]]/100000,"")</f>
        <v/>
      </c>
      <c r="EN76" s="41" t="str">
        <f aca="false">IF(AND(Tasks[[#This Row],[_IsLeaf]]=1,Tasks[[#This Row],[_LeafProgress]]&lt;1,OR(N(Tasks[[#This Row],[Finish Var]])&gt;0,Tasks[[#This Row],[Status]]="Late Start")),MAX(0,Tasks[[#This Row],[Finish Var]])+1-Tasks[[#This Row],[_Row]]/1000000,"")</f>
        <v/>
      </c>
      <c r="EO76" s="41" t="str">
        <f aca="false">IF(AND(Tasks[[#This Row],[_IsLeaf]]=1,N(Tasks[[#This Row],[Actual Start]])=0,Tasks[[#This Row],[_ShownFcstStart]]&gt;=StatusDate,Tasks[[#This Row],[_ShownFcstStart]]&lt;=LookaheadEnd),Tasks[[#This Row],[_ShownFcstStart]]+Tasks[[#This Row],[_Row]]/100000,"")</f>
        <v/>
      </c>
      <c r="EP76" s="41" t="str">
        <f aca="false">IF(AND(Tasks[[#This Row],[_IsLeaf]]=1,Tasks[[#This Row],[_LeafProgress]]&lt;1,Tasks[[#This Row],[_ShownFcstFinish]]&gt;=StatusDate,Tasks[[#This Row],[_ShownFcstFinish]]&lt;=LookaheadEnd),Tasks[[#This Row],[_ShownFcstFinish]]+Tasks[[#This Row],[_Row]]/100000,"")</f>
        <v/>
      </c>
      <c r="EQ76" s="41" t="str">
        <f aca="false">IF(Tasks[[#This Row],[_LeafCritical]],Tasks[[#This Row],[_ShownFcstStart]]+Tasks[[#This Row],[_Row]]/100000,"")</f>
        <v/>
      </c>
      <c r="ER76" s="41" t="n">
        <f aca="false">Tasks[[#This Row],[_LeafWork]]*Tasks[[#This Row],[_LeafProgress]]</f>
        <v>0</v>
      </c>
      <c r="ES76" s="101" t="str">
        <f aca="false">IF(AND(Tasks[[#This Row],[_IsLeaf]]=1,Tasks[[#This Row],[_LeafProgress]]&gt;=1),IF(N(Tasks[[#This Row],[Actual Finish]])&gt;0,Tasks[[#This Row],[Actual Finish]],Tasks[[#This Row],[_ShownFcstFinish]]),"")</f>
        <v/>
      </c>
      <c r="ET76" s="41" t="n">
        <f aca="false">IF(Tasks[[#This Row],[_IsLeaf]]=1,N(Tasks[[#This Row],[Story Points]]),0)</f>
        <v>0</v>
      </c>
      <c r="EU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29"/>
      <c r="O77" s="29"/>
      <c r="P77" s="29"/>
      <c r="Q77" s="29"/>
      <c r="R77" s="29"/>
      <c r="S77" s="29"/>
      <c r="T77" s="30"/>
      <c r="U77" s="75"/>
      <c r="V77" s="75"/>
      <c r="W77" s="25" t="str">
        <f aca="false">IF(Tasks[[#This Row],[Task Name]]="","",IF(N(Tasks[[#This Row],[Baseline Start]])&gt;0,Tasks[[#This Row],[Baseline Start]],Tasks[[#This Row],[_CalcStart]]))</f>
        <v/>
      </c>
      <c r="X77" s="25" t="str">
        <f aca="false">IF(Tasks[[#This Row],[Task Name]]="","",IF(N(Tasks[[#This Row],[Baseline Finish]])&gt;0,Tasks[[#This Row],[Baseline Finish]],Tasks[[#This Row],[_CalcFinish]]))</f>
        <v/>
      </c>
      <c r="Y77" s="75"/>
      <c r="Z77" s="75"/>
      <c r="AA77" s="25" t="str">
        <f aca="false">IF(Tasks[[#This Row],[Task Name]]="","",IF(Tasks[[#This Row],[_IsSummary]],MIN(INDEX(Tasks[_ShownFcstStart],Tasks[[#This Row],[_Row]]+1):INDEX(Tasks[_ShownFcstStart],Tasks[[#This Row],[_Row]]+Tasks[[#This Row],[_Descendants]])),Tasks[[#This Row],[_ShownFcstStart]]))</f>
        <v/>
      </c>
      <c r="AB77" s="25" t="str">
        <f aca="false">IF(Tasks[[#This Row],[Task Name]]="","",IF(Tasks[[#This Row],[_IsSummary]],MAX(INDEX(Tasks[_ShownFcstFinish],Tasks[[#This Row],[_Row]]+1):INDEX(Tasks[_ShownFcstFinish],Tasks[[#This Row],[_Row]]+Tasks[[#This Row],[_Descendants]])),Tasks[[#This Row],[_ShownFcstFinish]]))</f>
        <v/>
      </c>
      <c r="AC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7" s="25" t="str">
        <f aca="false">IF(Tasks[[#This Row],[Task Name]]="","",IF(Tasks[[#This Row],[_IsSummary]],MIN(INDEX(Tasks[_LeafLateStart],Tasks[[#This Row],[_Row]]+1):INDEX(Tasks[_LeafLateStart],Tasks[[#This Row],[_Row]]+Tasks[[#This Row],[_Descendants]])),Tasks[[#This Row],[_LeafLateStart]]))</f>
        <v/>
      </c>
      <c r="AF77" s="25" t="str">
        <f aca="false">IF(Tasks[[#This Row],[Task Name]]="","",IF(Tasks[[#This Row],[_IsSummary]],MAX(INDEX(Tasks[_LeafLateFinish],Tasks[[#This Row],[_Row]]+1):INDEX(Tasks[_LeafLateFinish],Tasks[[#This Row],[_Row]]+Tasks[[#This Row],[_Descendants]])),Tasks[[#This Row],[_LeafLateFinish]]))</f>
        <v/>
      </c>
      <c r="AG77" s="28" t="str">
        <f aca="false">IF(Tasks[[#This Row],[Task Name]]="","",IF(Tasks[[#This Row],[_IsSummary]],MIN(INDEX(Tasks[_LeafTotalSlack],Tasks[[#This Row],[_Row]]+1):INDEX(Tasks[_LeafTotalSlack],Tasks[[#This Row],[_Row]]+Tasks[[#This Row],[_Descendants]])),Tasks[[#This Row],[_LeafTotalSlack]]))</f>
        <v/>
      </c>
      <c r="AH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7" s="28" t="str">
        <f aca="false">IF(Tasks[[#This Row],[Task Name]]="","",IF(IF(Tasks[[#This Row],[_IsSummary]],COUNTIF(INDEX(Tasks[_LeafCritical],Tasks[[#This Row],[_Row]]+1):INDEX(Tasks[_LeafCritical],Tasks[[#This Row],[_Row]]+Tasks[[#This Row],[_Descendants]]),TRUE())&gt;0,Tasks[[#This Row],[_LeafCritical]]),"Yes",""))</f>
        <v/>
      </c>
      <c r="AJ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7" s="89"/>
      <c r="AM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7" s="28" t="str">
        <f aca="false">IF(Tasks[[#This Row],[Task Name]]="","",IF(Tasks[[#This Row],[Progress]]&gt;=1,"Complete",IF(OR(N(Tasks[[#This Row],[Actual Start]])&gt;0,Tasks[[#This Row],[Progress]]&gt;0),IF(Tasks[[#This Row],[Finish Var]]&gt;0,"Behind","In Progress"),IF(Tasks[[#This Row],[Planned Start]]&lt;StatusDate,"Late Start","Not Started"))))</f>
        <v/>
      </c>
      <c r="AO77" s="30"/>
      <c r="AP77" s="89"/>
      <c r="AQ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7" s="96" t="str">
        <f aca="false">IF(Tasks[[#This Row],[Task Name]]="","",IF(Tasks[[#This Row],[_IsSummary]],SUM(INDEX(Tasks[_LeafTotalWork],Tasks[[#This Row],[_Row]]+1):INDEX(Tasks[_LeafTotalWork],Tasks[[#This Row],[_Row]]+Tasks[[#This Row],[_Descendants]])),Tasks[[#This Row],[_LeafTotalWork]]))</f>
        <v/>
      </c>
      <c r="AT77" s="97" t="str">
        <f aca="false">IF(Tasks[[#This Row],[Task Name]]="","",IF(Tasks[[#This Row],[_IsSummary]],SUM(INDEX(Tasks[_LeafTotalCost],Tasks[[#This Row],[_Row]]+1):INDEX(Tasks[_LeafTotalCost],Tasks[[#This Row],[_Row]]+Tasks[[#This Row],[_Descendants]])),Tasks[[#This Row],[_LeafTotalCost]]))</f>
        <v/>
      </c>
      <c r="AU77" s="98"/>
      <c r="AV77" s="29"/>
      <c r="AW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7" s="83"/>
      <c r="AY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7" s="30"/>
      <c r="BA77" s="25" t="str">
        <f aca="false">IF(Tasks[[#This Row],[Task Name]]="","",Tasks[[#This Row],[Forecast Start]])</f>
        <v/>
      </c>
      <c r="BB77" s="25" t="str">
        <f aca="false">IF(Tasks[[#This Row],[Task Name]]="","",Tasks[[#This Row],[Forecast Finish]])</f>
        <v/>
      </c>
      <c r="BC77" s="28" t="str">
        <f aca="false">IF(Tasks[[#This Row],[Task Name]]="","",IF(Tasks[[#This Row],[_IsSummary]],NETWORKDAYS.INTL(Tasks[[#This Row],[Forecast Start]],Tasks[[#This Row],[Forecast Finish]],WorkWeek,Holidays),N(Tasks[[#This Row],[Duration]])))</f>
        <v/>
      </c>
      <c r="BD77" s="96" t="str">
        <f aca="false">IF(Tasks[[#This Row],[Task Name]]="","",Tasks[[#This Row],[Work]])</f>
        <v/>
      </c>
      <c r="BE77" s="97" t="str">
        <f aca="false">IF(Tasks[[#This Row],[Task Name]]="","",Tasks[[#This Row],[Cost]])</f>
        <v/>
      </c>
      <c r="BF77" s="75"/>
      <c r="BG77" s="75"/>
      <c r="BH77" s="29"/>
      <c r="BI77" s="99"/>
      <c r="BJ77" s="98"/>
      <c r="BK77" s="28" t="str">
        <f aca="false">IF(OR(Tasks[[#This Row],[Task Name]]="",Tasks[[#This Row],[Baseline Duration]]=""),"",Tasks[[#This Row],[BL Source Duration]]-N(Tasks[[#This Row],[Baseline Duration]]))</f>
        <v/>
      </c>
      <c r="BL77" s="96" t="str">
        <f aca="false">IF(OR(Tasks[[#This Row],[Task Name]]="",Tasks[[#This Row],[Baseline Work]]=""),"",Tasks[[#This Row],[Work]]-N(Tasks[[#This Row],[Baseline Work]]))</f>
        <v/>
      </c>
      <c r="BM77" s="97" t="str">
        <f aca="false">IF(OR(Tasks[[#This Row],[Task Name]]="",Tasks[[#This Row],[Baseline Cost]]=""),"",Tasks[[#This Row],[Cost]]-N(Tasks[[#This Row],[Baseline Cost]]))</f>
        <v/>
      </c>
      <c r="BN77" s="97" t="str">
        <f aca="false">IF(Tasks[[#This Row],[Task Name]]="","",IF(Tasks[[#This Row],[_IsSummary]],SUM(INDEX(Tasks[_LeafBudget],Tasks[[#This Row],[_Row]]+1):INDEX(Tasks[_LeafBudget],Tasks[[#This Row],[_Row]]+Tasks[[#This Row],[_Descendants]])),Tasks[[#This Row],[_LeafBudget]]))</f>
        <v/>
      </c>
      <c r="BO77" s="97" t="str">
        <f aca="false">IF(Tasks[[#This Row],[Task Name]]="","",IF(Tasks[[#This Row],[_IsSummary]],SUM(INDEX(Tasks[_LeafPV],Tasks[[#This Row],[_Row]]+1):INDEX(Tasks[_LeafPV],Tasks[[#This Row],[_Row]]+Tasks[[#This Row],[_Descendants]])),Tasks[[#This Row],[_LeafPV]]))</f>
        <v/>
      </c>
      <c r="BP77" s="97" t="str">
        <f aca="false">IF(Tasks[[#This Row],[Task Name]]="","",IF(Tasks[[#This Row],[_IsSummary]],SUM(INDEX(Tasks[_LeafEV],Tasks[[#This Row],[_Row]]+1):INDEX(Tasks[_LeafEV],Tasks[[#This Row],[_Row]]+Tasks[[#This Row],[_Descendants]])),Tasks[[#This Row],[_LeafEV]]))</f>
        <v/>
      </c>
      <c r="BQ77" s="97" t="str">
        <f aca="false">IF(Tasks[[#This Row],[Task Name]]="","",IF(Tasks[[#This Row],[_IsSummary]],SUM(INDEX(Tasks[_LeafAC],Tasks[[#This Row],[_Row]]+1):INDEX(Tasks[_LeafAC],Tasks[[#This Row],[_Row]]+Tasks[[#This Row],[_Descendants]])),Tasks[[#This Row],[_LeafAC]]))</f>
        <v/>
      </c>
      <c r="BR77" s="41" t="str">
        <f aca="false">IF(Tasks[[#This Row],[Task Name]]="","",MAX(1,N(Tasks[[#This Row],[Level]])))</f>
        <v/>
      </c>
      <c r="BS77" s="41" t="n">
        <f aca="false">ROW()-ROW(Tasks[[#Headers],[ID]])</f>
        <v>72</v>
      </c>
      <c r="BT77" s="41" t="n">
        <f aca="false">IF(OR(Tasks[[#This Row],[Task Name]]="",Tasks[[#This Row],[_Level]]&lt;=1),0,IFERROR(LOOKUP(2,1/(Tasks[[#Headers],[_Level]]:Tasks[[#This Row],[_Level]]=Tasks[[#This Row],[_Level]]-1),ROW(Tasks[[#Headers],[_Level]]:Tasks[[#This Row],[_Level]])),0))</f>
        <v>0</v>
      </c>
      <c r="BU77" s="41" t="n">
        <f aca="false">IFERROR(N(INDEX(Tasks[_Level],Tasks[[#This Row],[_Row]]+1)),0)</f>
        <v>0</v>
      </c>
      <c r="BV77" s="100" t="b">
        <f aca="false">AND(Tasks[[#This Row],[Task Name]]&lt;&gt;"",Tasks[[#This Row],[_NextLevel]]&gt;Tasks[[#This Row],[_Level]])</f>
        <v>0</v>
      </c>
      <c r="BW77" s="41" t="n">
        <f aca="false">IF(Tasks[[#This Row],[_IsSummary]],COUNTIF(Tasks[WBS],Tasks[[#This Row],[WBS]]&amp;".*"),0)</f>
        <v>0</v>
      </c>
      <c r="BX77" s="41" t="n">
        <f aca="false">IF(AND(Tasks[[#This Row],[Task Name]]&lt;&gt;"",NOT(Tasks[[#This Row],[_IsSummary]])),1,0)</f>
        <v>0</v>
      </c>
      <c r="BY77" s="41" t="n">
        <f aca="false">IF(N(Tasks[[#This Row],[Pred1 UID]])=0,0,IFERROR(MATCH(Tasks[[#This Row],[Pred1 UID]],Tasks[UID],0),-1))</f>
        <v>0</v>
      </c>
      <c r="BZ77" s="41" t="n">
        <f aca="false">IF(N(Tasks[[#This Row],[Pred2 UID]])=0,0,IFERROR(MATCH(Tasks[[#This Row],[Pred2 UID]],Tasks[UID],0),-1))</f>
        <v>0</v>
      </c>
      <c r="CA77" s="41" t="n">
        <f aca="false">IF(N(Tasks[[#This Row],[Pred3 UID]])=0,0,IFERROR(MATCH(Tasks[[#This Row],[Pred3 UID]],Tasks[UID],0),-1))</f>
        <v>0</v>
      </c>
      <c r="CB77" s="41" t="n">
        <f aca="false">IF(N(Tasks[[#This Row],[Pred4 UID]])=0,0,IFERROR(MATCH(Tasks[[#This Row],[Pred4 UID]],Tasks[UID],0),-1))</f>
        <v>0</v>
      </c>
      <c r="CC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7" s="101" t="n">
        <f aca="false">IF(OR(Tasks[[#This Row],[_ConstraintCode]]=2,Tasks[[#This Row],[_ConstraintCode]]=3,Tasks[[#This Row],[_ConstraintCode]]=4,Tasks[[#This Row],[_ConstraintCode]]=6),Tasks[[#This Row],[_ConstraintStart]],0)</f>
        <v>0</v>
      </c>
      <c r="CF77" s="101" t="n">
        <f aca="false">IF(OR(Tasks[[#This Row],[_ConstraintCode]]=2,Tasks[[#This Row],[_ConstraintCode]]=3,Tasks[[#This Row],[_ConstraintCode]]=5,Tasks[[#This Row],[_ConstraintCode]]=7),Tasks[[#This Row],[_ConstraintStart]],2958465)</f>
        <v>2958465</v>
      </c>
      <c r="CG7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7" s="101" t="str">
        <f aca="false">IF(NOT(Tasks[[#This Row],[_IsLeaf]]=1),"",IF(N(Tasks[[#This Row],[Duration]])&lt;=0,Tasks[[#This Row],[_LeafCalcStart]],WORKDAY.INTL(Tasks[[#This Row],[_LeafCalcStart]],Tasks[[#This Row],[Duration]]-1,WorkWeek,Holidays)))</f>
        <v/>
      </c>
      <c r="CI7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7" s="41" t="n">
        <f aca="false">IF(NOT(Tasks[[#This Row],[_IsLeaf]]=1),0,IF(N(Tasks[[#This Row],[Actual Finish]])&gt;0,1,MIN(1,N(Tasks[[#This Row],[% Complete]]))))</f>
        <v>0</v>
      </c>
      <c r="CL77" s="41" t="n">
        <f aca="false">IF(OR(NOT(Tasks[[#This Row],[_IsLeaf]]=1),Tasks[[#This Row],[Resource]]=""),0,N(Tasks[[#This Row],[Duration]])*HoursPerDay*IF(Tasks[[#This Row],[Units]]="",DefaultUnits,Tasks[[#This Row],[Units]]))</f>
        <v>0</v>
      </c>
      <c r="CM77" s="41" t="n">
        <f aca="false">IF(Tasks[[#This Row],[_LeafWork]]=0,0,Tasks[[#This Row],[_LeafWork]]*IFERROR(INDEX(res_Rate,MATCH(Tasks[[#This Row],[Resource]],res_Name,0)),0))</f>
        <v>0</v>
      </c>
      <c r="CN77" s="41" t="n">
        <f aca="false">Tasks[[#This Row],[_LeafWork]]+IF(Tasks[[#This Row],[_IsLeaf]]=1,SUMIFS(asg_Work,asg_TaskUID,Tasks[[#This Row],[UID]],asg_Valid,1),0)</f>
        <v>0</v>
      </c>
      <c r="CO77" s="41" t="n">
        <f aca="false">Tasks[[#This Row],[_LeafCost]]+IF(Tasks[[#This Row],[_IsLeaf]]=1,SUMIFS(asg_Cost,asg_TaskUID,Tasks[[#This Row],[UID]],asg_Valid,1),0)</f>
        <v>0</v>
      </c>
      <c r="CP77" s="41" t="n">
        <f aca="false">IF(Tasks[[#This Row],[_LeafTotalCost]]=0,Tasks[[#This Row],[_LeafAC]],Tasks[[#This Row],[_LeafAC]]*Tasks[[#This Row],[_LeafCost]]/Tasks[[#This Row],[_LeafTotalCost]])</f>
        <v>0</v>
      </c>
      <c r="CQ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7" s="41" t="n">
        <f aca="false">IF(NOT(Tasks[[#This Row],[_IsLeaf]]=1),0,MAX(_xlfn.MAXIFS(Tasks[_Row],Tasks[Pred1 UID],Tasks[[#This Row],[UID]]),_xlfn.MAXIFS(Tasks[_Row],Tasks[Pred2 UID],Tasks[[#This Row],[UID]]),_xlfn.MAXIFS(Tasks[_Row],Tasks[Pred3 UID],Tasks[[#This Row],[UID]]),_xlfn.MAXIFS(Tasks[_Row],Tasks[Pred4 UID],Tasks[[#This Row],[UID]])))</f>
        <v>0</v>
      </c>
      <c r="CZ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7" s="101" t="str">
        <f aca="false">IF(NOT(Tasks[[#This Row],[_IsLeaf]]=1),"",IF(N(Tasks[[#This Row],[Duration]])&lt;=0,Tasks[[#This Row],[_LeafLateFinish]],WORKDAY.INTL(Tasks[[#This Row],[_LeafLateFinish]],-(Tasks[[#This Row],[Duration]]-1),WorkWeek,Holidays)))</f>
        <v/>
      </c>
      <c r="DC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7" s="100" t="b">
        <f aca="false">AND(Tasks[[#This Row],[_IsLeaf]]=1,Tasks[[#This Row],[_LeafProgress]]&lt;1,N(Tasks[[#This Row],[_LeafTotalSlack]])&lt;=CriticalSlackDays)</f>
        <v>0</v>
      </c>
      <c r="DE77" s="41" t="n">
        <f aca="false">IF(AND(Tasks[[#This Row],[_IsLeaf]]=1,Tasks[[#This Row],[_ConstraintCode]]=1,Tasks[[#This Row],[Mode]]&lt;&gt;"Manual",N(Tasks[[#This Row],[Actual Start]])=0),MAX(0,N(Tasks[[#This Row],[Free Slack]])),0)</f>
        <v>0</v>
      </c>
      <c r="DF77" s="101" t="str">
        <f aca="false">IF(NOT(Tasks[[#This Row],[_IsLeaf]]=1),"",IF(Tasks[[#This Row],[_AlapShift]]=0,Tasks[[#This Row],[_LeafCalcStart]],WORKDAY.INTL(Tasks[[#This Row],[_LeafCalcStart]],Tasks[[#This Row],[_AlapShift]],WorkWeek,Holidays)))</f>
        <v/>
      </c>
      <c r="DG77" s="101" t="str">
        <f aca="false">IF(NOT(Tasks[[#This Row],[_IsLeaf]]=1),"",IF(Tasks[[#This Row],[_AlapShift]]=0,Tasks[[#This Row],[_LeafCalcFinish]],WORKDAY.INTL(Tasks[[#This Row],[_LeafCalcFinish]],Tasks[[#This Row],[_AlapShift]],WorkWeek,Holidays)))</f>
        <v/>
      </c>
      <c r="DH77" s="101" t="str">
        <f aca="false">IF(NOT(Tasks[[#This Row],[_IsLeaf]]=1),"",IF(Tasks[[#This Row],[_AlapShift]]=0,Tasks[[#This Row],[_LeafFcstStart]],WORKDAY.INTL(Tasks[[#This Row],[_LeafFcstStart]],Tasks[[#This Row],[_AlapShift]],WorkWeek,Holidays)))</f>
        <v/>
      </c>
      <c r="DI77" s="101" t="str">
        <f aca="false">IF(NOT(Tasks[[#This Row],[_IsLeaf]]=1),"",IF(Tasks[[#This Row],[_AlapShift]]=0,Tasks[[#This Row],[_LeafFcstFinish]],WORKDAY.INTL(Tasks[[#This Row],[_LeafFcstFinish]],Tasks[[#This Row],[_AlapShift]],WorkWeek,Holidays)))</f>
        <v/>
      </c>
      <c r="DJ77" s="101" t="str">
        <f aca="false">IF(Tasks[[#This Row],[Task Name]]="","",IF(Tasks[[#This Row],[_IsSummary]],MIN(INDEX(Tasks[_ShownCalcStart],Tasks[[#This Row],[_Row]]+1):INDEX(Tasks[_ShownCalcStart],Tasks[[#This Row],[_Row]]+Tasks[[#This Row],[_Descendants]])),Tasks[[#This Row],[_ShownCalcStart]]))</f>
        <v/>
      </c>
      <c r="DK77" s="101" t="str">
        <f aca="false">IF(Tasks[[#This Row],[Task Name]]="","",IF(Tasks[[#This Row],[_IsSummary]],MAX(INDEX(Tasks[_ShownCalcFinish],Tasks[[#This Row],[_Row]]+1):INDEX(Tasks[_ShownCalcFinish],Tasks[[#This Row],[_Row]]+Tasks[[#This Row],[_Descendants]])),Tasks[[#This Row],[_ShownCalcFinish]]))</f>
        <v/>
      </c>
      <c r="D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7" s="41" t="n">
        <f aca="false">IF(AND(Tasks[[#This Row],[_IsLeaf]]=1,Tasks[[#This Row],[_LeafTotalWork]]&gt;0),NETWORKDAYS.INTL(ProjectStart,Tasks[[#This Row],[_ShownFcstStart]],WorkWeek,Holidays),0)</f>
        <v>0</v>
      </c>
      <c r="DY77" s="41" t="n">
        <f aca="false">IF(AND(Tasks[[#This Row],[_IsLeaf]]=1,Tasks[[#This Row],[_LeafTotalWork]]&gt;0),MAX(Tasks[[#This Row],[_StartWorkday]],NETWORKDAYS.INTL(ProjectStart,Tasks[[#This Row],[_ShownFcstFinish]],WorkWeek,Holidays)),0)</f>
        <v>0</v>
      </c>
      <c r="DZ77" s="41" t="n">
        <f aca="false">IF(AND(Tasks[[#This Row],[_IsLeaf]]=1,Tasks[[#This Row],[_LeafTotalWork]]&gt;0),Tasks[[#This Row],[_LeafWork]]/(Tasks[[#This Row],[_FinishWorkday]]-Tasks[[#This Row],[_StartWorkday]]+1),0)</f>
        <v>0</v>
      </c>
      <c r="EA77" s="41" t="n">
        <f aca="false">Tasks[[#This Row],[_WorkPerWorkday]]*(Tasks[[#This Row],[_StartWorkday]]-1)</f>
        <v>-0</v>
      </c>
      <c r="EB77" s="41" t="n">
        <f aca="false">IF(Tasks[[#This Row],[_IsLeaf]]=1,MAX(N(Tasks[[#This Row],[Duration]]),0.1),0)</f>
        <v>0</v>
      </c>
      <c r="EC77" s="41" t="n">
        <f aca="false">Tasks[[#This Row],[_WeightDur]]*Tasks[[#This Row],[_LeafProgress]]</f>
        <v>0</v>
      </c>
      <c r="ED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7" s="41" t="str">
        <f aca="false">IF(AND(Tasks[[#This Row],[_IsLeaf]]=1,N(Tasks[[#This Row],[Duration]])=0,Tasks[[#This Row],[_LeafProgress]]&lt;1),Tasks[[#This Row],[_ShownFcstFinish]]+Tasks[[#This Row],[_Row]]/100000,"")</f>
        <v/>
      </c>
      <c r="EF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7" s="41" t="n">
        <f aca="false">IF(NOT(Tasks[[#This Row],[_IsLeaf]]=1),0,IF(Tasks[[#This Row],[Baseline Cost]]="",Tasks[[#This Row],[_LeafTotalCost]],N(Tasks[[#This Row],[Baseline Cost]])))</f>
        <v>0</v>
      </c>
      <c r="EH77" s="41" t="n">
        <f aca="false">Tasks[[#This Row],[_LeafBudget]]*Tasks[[#This Row],[_PlannedPct]]</f>
        <v>0</v>
      </c>
      <c r="EI77" s="41" t="n">
        <f aca="false">Tasks[[#This Row],[_LeafBudget]]*Tasks[[#This Row],[_LeafProgress]]</f>
        <v>0</v>
      </c>
      <c r="EJ77" s="41" t="n">
        <f aca="false">IF(NOT(Tasks[[#This Row],[_IsLeaf]]=1),0,IF(Tasks[[#This Row],[Actual Cost]]="",Tasks[[#This Row],[_LeafTotalCost]]*Tasks[[#This Row],[_LeafProgress]],N(Tasks[[#This Row],[Actual Cost]])))</f>
        <v>0</v>
      </c>
      <c r="EK77" s="41" t="str">
        <f aca="false">IF(Tasks[[#This Row],[Task Name]]="","",LEFT(Tasks[[#This Row],[WBS]],FIND(".",Tasks[[#This Row],[WBS]]&amp;".")-1))</f>
        <v/>
      </c>
      <c r="EL77" s="41" t="str">
        <f aca="false">IF(AND(Tasks[[#This Row],[Task Name]]&lt;&gt;"",Tasks[[#This Row],[_Level]]=1),Tasks[[#This Row],[_Row]],"")</f>
        <v/>
      </c>
      <c r="EM77" s="41" t="str">
        <f aca="false">IF(AND(Tasks[[#This Row],[_IsLeaf]]=1,N(Tasks[[#This Row],[Duration]])=0),Tasks[[#This Row],[Planned Finish]]+Tasks[[#This Row],[_Row]]/100000,"")</f>
        <v/>
      </c>
      <c r="EN77" s="41" t="str">
        <f aca="false">IF(AND(Tasks[[#This Row],[_IsLeaf]]=1,Tasks[[#This Row],[_LeafProgress]]&lt;1,OR(N(Tasks[[#This Row],[Finish Var]])&gt;0,Tasks[[#This Row],[Status]]="Late Start")),MAX(0,Tasks[[#This Row],[Finish Var]])+1-Tasks[[#This Row],[_Row]]/1000000,"")</f>
        <v/>
      </c>
      <c r="EO77" s="41" t="str">
        <f aca="false">IF(AND(Tasks[[#This Row],[_IsLeaf]]=1,N(Tasks[[#This Row],[Actual Start]])=0,Tasks[[#This Row],[_ShownFcstStart]]&gt;=StatusDate,Tasks[[#This Row],[_ShownFcstStart]]&lt;=LookaheadEnd),Tasks[[#This Row],[_ShownFcstStart]]+Tasks[[#This Row],[_Row]]/100000,"")</f>
        <v/>
      </c>
      <c r="EP77" s="41" t="str">
        <f aca="false">IF(AND(Tasks[[#This Row],[_IsLeaf]]=1,Tasks[[#This Row],[_LeafProgress]]&lt;1,Tasks[[#This Row],[_ShownFcstFinish]]&gt;=StatusDate,Tasks[[#This Row],[_ShownFcstFinish]]&lt;=LookaheadEnd),Tasks[[#This Row],[_ShownFcstFinish]]+Tasks[[#This Row],[_Row]]/100000,"")</f>
        <v/>
      </c>
      <c r="EQ77" s="41" t="str">
        <f aca="false">IF(Tasks[[#This Row],[_LeafCritical]],Tasks[[#This Row],[_ShownFcstStart]]+Tasks[[#This Row],[_Row]]/100000,"")</f>
        <v/>
      </c>
      <c r="ER77" s="41" t="n">
        <f aca="false">Tasks[[#This Row],[_LeafWork]]*Tasks[[#This Row],[_LeafProgress]]</f>
        <v>0</v>
      </c>
      <c r="ES77" s="101" t="str">
        <f aca="false">IF(AND(Tasks[[#This Row],[_IsLeaf]]=1,Tasks[[#This Row],[_LeafProgress]]&gt;=1),IF(N(Tasks[[#This Row],[Actual Finish]])&gt;0,Tasks[[#This Row],[Actual Finish]],Tasks[[#This Row],[_ShownFcstFinish]]),"")</f>
        <v/>
      </c>
      <c r="ET77" s="41" t="n">
        <f aca="false">IF(Tasks[[#This Row],[_IsLeaf]]=1,N(Tasks[[#This Row],[Story Points]]),0)</f>
        <v>0</v>
      </c>
      <c r="EU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29"/>
      <c r="O78" s="29"/>
      <c r="P78" s="29"/>
      <c r="Q78" s="29"/>
      <c r="R78" s="29"/>
      <c r="S78" s="29"/>
      <c r="T78" s="30"/>
      <c r="U78" s="75"/>
      <c r="V78" s="75"/>
      <c r="W78" s="25" t="str">
        <f aca="false">IF(Tasks[[#This Row],[Task Name]]="","",IF(N(Tasks[[#This Row],[Baseline Start]])&gt;0,Tasks[[#This Row],[Baseline Start]],Tasks[[#This Row],[_CalcStart]]))</f>
        <v/>
      </c>
      <c r="X78" s="25" t="str">
        <f aca="false">IF(Tasks[[#This Row],[Task Name]]="","",IF(N(Tasks[[#This Row],[Baseline Finish]])&gt;0,Tasks[[#This Row],[Baseline Finish]],Tasks[[#This Row],[_CalcFinish]]))</f>
        <v/>
      </c>
      <c r="Y78" s="75"/>
      <c r="Z78" s="75"/>
      <c r="AA78" s="25" t="str">
        <f aca="false">IF(Tasks[[#This Row],[Task Name]]="","",IF(Tasks[[#This Row],[_IsSummary]],MIN(INDEX(Tasks[_ShownFcstStart],Tasks[[#This Row],[_Row]]+1):INDEX(Tasks[_ShownFcstStart],Tasks[[#This Row],[_Row]]+Tasks[[#This Row],[_Descendants]])),Tasks[[#This Row],[_ShownFcstStart]]))</f>
        <v/>
      </c>
      <c r="AB78" s="25" t="str">
        <f aca="false">IF(Tasks[[#This Row],[Task Name]]="","",IF(Tasks[[#This Row],[_IsSummary]],MAX(INDEX(Tasks[_ShownFcstFinish],Tasks[[#This Row],[_Row]]+1):INDEX(Tasks[_ShownFcstFinish],Tasks[[#This Row],[_Row]]+Tasks[[#This Row],[_Descendants]])),Tasks[[#This Row],[_ShownFcstFinish]]))</f>
        <v/>
      </c>
      <c r="AC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8" s="25" t="str">
        <f aca="false">IF(Tasks[[#This Row],[Task Name]]="","",IF(Tasks[[#This Row],[_IsSummary]],MIN(INDEX(Tasks[_LeafLateStart],Tasks[[#This Row],[_Row]]+1):INDEX(Tasks[_LeafLateStart],Tasks[[#This Row],[_Row]]+Tasks[[#This Row],[_Descendants]])),Tasks[[#This Row],[_LeafLateStart]]))</f>
        <v/>
      </c>
      <c r="AF78" s="25" t="str">
        <f aca="false">IF(Tasks[[#This Row],[Task Name]]="","",IF(Tasks[[#This Row],[_IsSummary]],MAX(INDEX(Tasks[_LeafLateFinish],Tasks[[#This Row],[_Row]]+1):INDEX(Tasks[_LeafLateFinish],Tasks[[#This Row],[_Row]]+Tasks[[#This Row],[_Descendants]])),Tasks[[#This Row],[_LeafLateFinish]]))</f>
        <v/>
      </c>
      <c r="AG78" s="28" t="str">
        <f aca="false">IF(Tasks[[#This Row],[Task Name]]="","",IF(Tasks[[#This Row],[_IsSummary]],MIN(INDEX(Tasks[_LeafTotalSlack],Tasks[[#This Row],[_Row]]+1):INDEX(Tasks[_LeafTotalSlack],Tasks[[#This Row],[_Row]]+Tasks[[#This Row],[_Descendants]])),Tasks[[#This Row],[_LeafTotalSlack]]))</f>
        <v/>
      </c>
      <c r="AH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8" s="28" t="str">
        <f aca="false">IF(Tasks[[#This Row],[Task Name]]="","",IF(IF(Tasks[[#This Row],[_IsSummary]],COUNTIF(INDEX(Tasks[_LeafCritical],Tasks[[#This Row],[_Row]]+1):INDEX(Tasks[_LeafCritical],Tasks[[#This Row],[_Row]]+Tasks[[#This Row],[_Descendants]]),TRUE())&gt;0,Tasks[[#This Row],[_LeafCritical]]),"Yes",""))</f>
        <v/>
      </c>
      <c r="AJ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8" s="89"/>
      <c r="AM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8" s="28" t="str">
        <f aca="false">IF(Tasks[[#This Row],[Task Name]]="","",IF(Tasks[[#This Row],[Progress]]&gt;=1,"Complete",IF(OR(N(Tasks[[#This Row],[Actual Start]])&gt;0,Tasks[[#This Row],[Progress]]&gt;0),IF(Tasks[[#This Row],[Finish Var]]&gt;0,"Behind","In Progress"),IF(Tasks[[#This Row],[Planned Start]]&lt;StatusDate,"Late Start","Not Started"))))</f>
        <v/>
      </c>
      <c r="AO78" s="30"/>
      <c r="AP78" s="89"/>
      <c r="AQ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8" s="96" t="str">
        <f aca="false">IF(Tasks[[#This Row],[Task Name]]="","",IF(Tasks[[#This Row],[_IsSummary]],SUM(INDEX(Tasks[_LeafTotalWork],Tasks[[#This Row],[_Row]]+1):INDEX(Tasks[_LeafTotalWork],Tasks[[#This Row],[_Row]]+Tasks[[#This Row],[_Descendants]])),Tasks[[#This Row],[_LeafTotalWork]]))</f>
        <v/>
      </c>
      <c r="AT78" s="97" t="str">
        <f aca="false">IF(Tasks[[#This Row],[Task Name]]="","",IF(Tasks[[#This Row],[_IsSummary]],SUM(INDEX(Tasks[_LeafTotalCost],Tasks[[#This Row],[_Row]]+1):INDEX(Tasks[_LeafTotalCost],Tasks[[#This Row],[_Row]]+Tasks[[#This Row],[_Descendants]])),Tasks[[#This Row],[_LeafTotalCost]]))</f>
        <v/>
      </c>
      <c r="AU78" s="98"/>
      <c r="AV78" s="29"/>
      <c r="AW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8" s="83"/>
      <c r="AY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8" s="30"/>
      <c r="BA78" s="25" t="str">
        <f aca="false">IF(Tasks[[#This Row],[Task Name]]="","",Tasks[[#This Row],[Forecast Start]])</f>
        <v/>
      </c>
      <c r="BB78" s="25" t="str">
        <f aca="false">IF(Tasks[[#This Row],[Task Name]]="","",Tasks[[#This Row],[Forecast Finish]])</f>
        <v/>
      </c>
      <c r="BC78" s="28" t="str">
        <f aca="false">IF(Tasks[[#This Row],[Task Name]]="","",IF(Tasks[[#This Row],[_IsSummary]],NETWORKDAYS.INTL(Tasks[[#This Row],[Forecast Start]],Tasks[[#This Row],[Forecast Finish]],WorkWeek,Holidays),N(Tasks[[#This Row],[Duration]])))</f>
        <v/>
      </c>
      <c r="BD78" s="96" t="str">
        <f aca="false">IF(Tasks[[#This Row],[Task Name]]="","",Tasks[[#This Row],[Work]])</f>
        <v/>
      </c>
      <c r="BE78" s="97" t="str">
        <f aca="false">IF(Tasks[[#This Row],[Task Name]]="","",Tasks[[#This Row],[Cost]])</f>
        <v/>
      </c>
      <c r="BF78" s="75"/>
      <c r="BG78" s="75"/>
      <c r="BH78" s="29"/>
      <c r="BI78" s="99"/>
      <c r="BJ78" s="98"/>
      <c r="BK78" s="28" t="str">
        <f aca="false">IF(OR(Tasks[[#This Row],[Task Name]]="",Tasks[[#This Row],[Baseline Duration]]=""),"",Tasks[[#This Row],[BL Source Duration]]-N(Tasks[[#This Row],[Baseline Duration]]))</f>
        <v/>
      </c>
      <c r="BL78" s="96" t="str">
        <f aca="false">IF(OR(Tasks[[#This Row],[Task Name]]="",Tasks[[#This Row],[Baseline Work]]=""),"",Tasks[[#This Row],[Work]]-N(Tasks[[#This Row],[Baseline Work]]))</f>
        <v/>
      </c>
      <c r="BM78" s="97" t="str">
        <f aca="false">IF(OR(Tasks[[#This Row],[Task Name]]="",Tasks[[#This Row],[Baseline Cost]]=""),"",Tasks[[#This Row],[Cost]]-N(Tasks[[#This Row],[Baseline Cost]]))</f>
        <v/>
      </c>
      <c r="BN78" s="97" t="str">
        <f aca="false">IF(Tasks[[#This Row],[Task Name]]="","",IF(Tasks[[#This Row],[_IsSummary]],SUM(INDEX(Tasks[_LeafBudget],Tasks[[#This Row],[_Row]]+1):INDEX(Tasks[_LeafBudget],Tasks[[#This Row],[_Row]]+Tasks[[#This Row],[_Descendants]])),Tasks[[#This Row],[_LeafBudget]]))</f>
        <v/>
      </c>
      <c r="BO78" s="97" t="str">
        <f aca="false">IF(Tasks[[#This Row],[Task Name]]="","",IF(Tasks[[#This Row],[_IsSummary]],SUM(INDEX(Tasks[_LeafPV],Tasks[[#This Row],[_Row]]+1):INDEX(Tasks[_LeafPV],Tasks[[#This Row],[_Row]]+Tasks[[#This Row],[_Descendants]])),Tasks[[#This Row],[_LeafPV]]))</f>
        <v/>
      </c>
      <c r="BP78" s="97" t="str">
        <f aca="false">IF(Tasks[[#This Row],[Task Name]]="","",IF(Tasks[[#This Row],[_IsSummary]],SUM(INDEX(Tasks[_LeafEV],Tasks[[#This Row],[_Row]]+1):INDEX(Tasks[_LeafEV],Tasks[[#This Row],[_Row]]+Tasks[[#This Row],[_Descendants]])),Tasks[[#This Row],[_LeafEV]]))</f>
        <v/>
      </c>
      <c r="BQ78" s="97" t="str">
        <f aca="false">IF(Tasks[[#This Row],[Task Name]]="","",IF(Tasks[[#This Row],[_IsSummary]],SUM(INDEX(Tasks[_LeafAC],Tasks[[#This Row],[_Row]]+1):INDEX(Tasks[_LeafAC],Tasks[[#This Row],[_Row]]+Tasks[[#This Row],[_Descendants]])),Tasks[[#This Row],[_LeafAC]]))</f>
        <v/>
      </c>
      <c r="BR78" s="41" t="str">
        <f aca="false">IF(Tasks[[#This Row],[Task Name]]="","",MAX(1,N(Tasks[[#This Row],[Level]])))</f>
        <v/>
      </c>
      <c r="BS78" s="41" t="n">
        <f aca="false">ROW()-ROW(Tasks[[#Headers],[ID]])</f>
        <v>73</v>
      </c>
      <c r="BT78" s="41" t="n">
        <f aca="false">IF(OR(Tasks[[#This Row],[Task Name]]="",Tasks[[#This Row],[_Level]]&lt;=1),0,IFERROR(LOOKUP(2,1/(Tasks[[#Headers],[_Level]]:Tasks[[#This Row],[_Level]]=Tasks[[#This Row],[_Level]]-1),ROW(Tasks[[#Headers],[_Level]]:Tasks[[#This Row],[_Level]])),0))</f>
        <v>0</v>
      </c>
      <c r="BU78" s="41" t="n">
        <f aca="false">IFERROR(N(INDEX(Tasks[_Level],Tasks[[#This Row],[_Row]]+1)),0)</f>
        <v>0</v>
      </c>
      <c r="BV78" s="100" t="b">
        <f aca="false">AND(Tasks[[#This Row],[Task Name]]&lt;&gt;"",Tasks[[#This Row],[_NextLevel]]&gt;Tasks[[#This Row],[_Level]])</f>
        <v>0</v>
      </c>
      <c r="BW78" s="41" t="n">
        <f aca="false">IF(Tasks[[#This Row],[_IsSummary]],COUNTIF(Tasks[WBS],Tasks[[#This Row],[WBS]]&amp;".*"),0)</f>
        <v>0</v>
      </c>
      <c r="BX78" s="41" t="n">
        <f aca="false">IF(AND(Tasks[[#This Row],[Task Name]]&lt;&gt;"",NOT(Tasks[[#This Row],[_IsSummary]])),1,0)</f>
        <v>0</v>
      </c>
      <c r="BY78" s="41" t="n">
        <f aca="false">IF(N(Tasks[[#This Row],[Pred1 UID]])=0,0,IFERROR(MATCH(Tasks[[#This Row],[Pred1 UID]],Tasks[UID],0),-1))</f>
        <v>0</v>
      </c>
      <c r="BZ78" s="41" t="n">
        <f aca="false">IF(N(Tasks[[#This Row],[Pred2 UID]])=0,0,IFERROR(MATCH(Tasks[[#This Row],[Pred2 UID]],Tasks[UID],0),-1))</f>
        <v>0</v>
      </c>
      <c r="CA78" s="41" t="n">
        <f aca="false">IF(N(Tasks[[#This Row],[Pred3 UID]])=0,0,IFERROR(MATCH(Tasks[[#This Row],[Pred3 UID]],Tasks[UID],0),-1))</f>
        <v>0</v>
      </c>
      <c r="CB78" s="41" t="n">
        <f aca="false">IF(N(Tasks[[#This Row],[Pred4 UID]])=0,0,IFERROR(MATCH(Tasks[[#This Row],[Pred4 UID]],Tasks[UID],0),-1))</f>
        <v>0</v>
      </c>
      <c r="CC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8" s="101" t="n">
        <f aca="false">IF(OR(Tasks[[#This Row],[_ConstraintCode]]=2,Tasks[[#This Row],[_ConstraintCode]]=3,Tasks[[#This Row],[_ConstraintCode]]=4,Tasks[[#This Row],[_ConstraintCode]]=6),Tasks[[#This Row],[_ConstraintStart]],0)</f>
        <v>0</v>
      </c>
      <c r="CF78" s="101" t="n">
        <f aca="false">IF(OR(Tasks[[#This Row],[_ConstraintCode]]=2,Tasks[[#This Row],[_ConstraintCode]]=3,Tasks[[#This Row],[_ConstraintCode]]=5,Tasks[[#This Row],[_ConstraintCode]]=7),Tasks[[#This Row],[_ConstraintStart]],2958465)</f>
        <v>2958465</v>
      </c>
      <c r="CG7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8" s="101" t="str">
        <f aca="false">IF(NOT(Tasks[[#This Row],[_IsLeaf]]=1),"",IF(N(Tasks[[#This Row],[Duration]])&lt;=0,Tasks[[#This Row],[_LeafCalcStart]],WORKDAY.INTL(Tasks[[#This Row],[_LeafCalcStart]],Tasks[[#This Row],[Duration]]-1,WorkWeek,Holidays)))</f>
        <v/>
      </c>
      <c r="CI7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8" s="41" t="n">
        <f aca="false">IF(NOT(Tasks[[#This Row],[_IsLeaf]]=1),0,IF(N(Tasks[[#This Row],[Actual Finish]])&gt;0,1,MIN(1,N(Tasks[[#This Row],[% Complete]]))))</f>
        <v>0</v>
      </c>
      <c r="CL78" s="41" t="n">
        <f aca="false">IF(OR(NOT(Tasks[[#This Row],[_IsLeaf]]=1),Tasks[[#This Row],[Resource]]=""),0,N(Tasks[[#This Row],[Duration]])*HoursPerDay*IF(Tasks[[#This Row],[Units]]="",DefaultUnits,Tasks[[#This Row],[Units]]))</f>
        <v>0</v>
      </c>
      <c r="CM78" s="41" t="n">
        <f aca="false">IF(Tasks[[#This Row],[_LeafWork]]=0,0,Tasks[[#This Row],[_LeafWork]]*IFERROR(INDEX(res_Rate,MATCH(Tasks[[#This Row],[Resource]],res_Name,0)),0))</f>
        <v>0</v>
      </c>
      <c r="CN78" s="41" t="n">
        <f aca="false">Tasks[[#This Row],[_LeafWork]]+IF(Tasks[[#This Row],[_IsLeaf]]=1,SUMIFS(asg_Work,asg_TaskUID,Tasks[[#This Row],[UID]],asg_Valid,1),0)</f>
        <v>0</v>
      </c>
      <c r="CO78" s="41" t="n">
        <f aca="false">Tasks[[#This Row],[_LeafCost]]+IF(Tasks[[#This Row],[_IsLeaf]]=1,SUMIFS(asg_Cost,asg_TaskUID,Tasks[[#This Row],[UID]],asg_Valid,1),0)</f>
        <v>0</v>
      </c>
      <c r="CP78" s="41" t="n">
        <f aca="false">IF(Tasks[[#This Row],[_LeafTotalCost]]=0,Tasks[[#This Row],[_LeafAC]],Tasks[[#This Row],[_LeafAC]]*Tasks[[#This Row],[_LeafCost]]/Tasks[[#This Row],[_LeafTotalCost]])</f>
        <v>0</v>
      </c>
      <c r="CQ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8" s="41" t="n">
        <f aca="false">IF(NOT(Tasks[[#This Row],[_IsLeaf]]=1),0,MAX(_xlfn.MAXIFS(Tasks[_Row],Tasks[Pred1 UID],Tasks[[#This Row],[UID]]),_xlfn.MAXIFS(Tasks[_Row],Tasks[Pred2 UID],Tasks[[#This Row],[UID]]),_xlfn.MAXIFS(Tasks[_Row],Tasks[Pred3 UID],Tasks[[#This Row],[UID]]),_xlfn.MAXIFS(Tasks[_Row],Tasks[Pred4 UID],Tasks[[#This Row],[UID]])))</f>
        <v>0</v>
      </c>
      <c r="CZ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8" s="101" t="str">
        <f aca="false">IF(NOT(Tasks[[#This Row],[_IsLeaf]]=1),"",IF(N(Tasks[[#This Row],[Duration]])&lt;=0,Tasks[[#This Row],[_LeafLateFinish]],WORKDAY.INTL(Tasks[[#This Row],[_LeafLateFinish]],-(Tasks[[#This Row],[Duration]]-1),WorkWeek,Holidays)))</f>
        <v/>
      </c>
      <c r="DC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8" s="100" t="b">
        <f aca="false">AND(Tasks[[#This Row],[_IsLeaf]]=1,Tasks[[#This Row],[_LeafProgress]]&lt;1,N(Tasks[[#This Row],[_LeafTotalSlack]])&lt;=CriticalSlackDays)</f>
        <v>0</v>
      </c>
      <c r="DE78" s="41" t="n">
        <f aca="false">IF(AND(Tasks[[#This Row],[_IsLeaf]]=1,Tasks[[#This Row],[_ConstraintCode]]=1,Tasks[[#This Row],[Mode]]&lt;&gt;"Manual",N(Tasks[[#This Row],[Actual Start]])=0),MAX(0,N(Tasks[[#This Row],[Free Slack]])),0)</f>
        <v>0</v>
      </c>
      <c r="DF78" s="101" t="str">
        <f aca="false">IF(NOT(Tasks[[#This Row],[_IsLeaf]]=1),"",IF(Tasks[[#This Row],[_AlapShift]]=0,Tasks[[#This Row],[_LeafCalcStart]],WORKDAY.INTL(Tasks[[#This Row],[_LeafCalcStart]],Tasks[[#This Row],[_AlapShift]],WorkWeek,Holidays)))</f>
        <v/>
      </c>
      <c r="DG78" s="101" t="str">
        <f aca="false">IF(NOT(Tasks[[#This Row],[_IsLeaf]]=1),"",IF(Tasks[[#This Row],[_AlapShift]]=0,Tasks[[#This Row],[_LeafCalcFinish]],WORKDAY.INTL(Tasks[[#This Row],[_LeafCalcFinish]],Tasks[[#This Row],[_AlapShift]],WorkWeek,Holidays)))</f>
        <v/>
      </c>
      <c r="DH78" s="101" t="str">
        <f aca="false">IF(NOT(Tasks[[#This Row],[_IsLeaf]]=1),"",IF(Tasks[[#This Row],[_AlapShift]]=0,Tasks[[#This Row],[_LeafFcstStart]],WORKDAY.INTL(Tasks[[#This Row],[_LeafFcstStart]],Tasks[[#This Row],[_AlapShift]],WorkWeek,Holidays)))</f>
        <v/>
      </c>
      <c r="DI78" s="101" t="str">
        <f aca="false">IF(NOT(Tasks[[#This Row],[_IsLeaf]]=1),"",IF(Tasks[[#This Row],[_AlapShift]]=0,Tasks[[#This Row],[_LeafFcstFinish]],WORKDAY.INTL(Tasks[[#This Row],[_LeafFcstFinish]],Tasks[[#This Row],[_AlapShift]],WorkWeek,Holidays)))</f>
        <v/>
      </c>
      <c r="DJ78" s="101" t="str">
        <f aca="false">IF(Tasks[[#This Row],[Task Name]]="","",IF(Tasks[[#This Row],[_IsSummary]],MIN(INDEX(Tasks[_ShownCalcStart],Tasks[[#This Row],[_Row]]+1):INDEX(Tasks[_ShownCalcStart],Tasks[[#This Row],[_Row]]+Tasks[[#This Row],[_Descendants]])),Tasks[[#This Row],[_ShownCalcStart]]))</f>
        <v/>
      </c>
      <c r="DK78" s="101" t="str">
        <f aca="false">IF(Tasks[[#This Row],[Task Name]]="","",IF(Tasks[[#This Row],[_IsSummary]],MAX(INDEX(Tasks[_ShownCalcFinish],Tasks[[#This Row],[_Row]]+1):INDEX(Tasks[_ShownCalcFinish],Tasks[[#This Row],[_Row]]+Tasks[[#This Row],[_Descendants]])),Tasks[[#This Row],[_ShownCalcFinish]]))</f>
        <v/>
      </c>
      <c r="D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8" s="41" t="n">
        <f aca="false">IF(AND(Tasks[[#This Row],[_IsLeaf]]=1,Tasks[[#This Row],[_LeafTotalWork]]&gt;0),NETWORKDAYS.INTL(ProjectStart,Tasks[[#This Row],[_ShownFcstStart]],WorkWeek,Holidays),0)</f>
        <v>0</v>
      </c>
      <c r="DY78" s="41" t="n">
        <f aca="false">IF(AND(Tasks[[#This Row],[_IsLeaf]]=1,Tasks[[#This Row],[_LeafTotalWork]]&gt;0),MAX(Tasks[[#This Row],[_StartWorkday]],NETWORKDAYS.INTL(ProjectStart,Tasks[[#This Row],[_ShownFcstFinish]],WorkWeek,Holidays)),0)</f>
        <v>0</v>
      </c>
      <c r="DZ78" s="41" t="n">
        <f aca="false">IF(AND(Tasks[[#This Row],[_IsLeaf]]=1,Tasks[[#This Row],[_LeafTotalWork]]&gt;0),Tasks[[#This Row],[_LeafWork]]/(Tasks[[#This Row],[_FinishWorkday]]-Tasks[[#This Row],[_StartWorkday]]+1),0)</f>
        <v>0</v>
      </c>
      <c r="EA78" s="41" t="n">
        <f aca="false">Tasks[[#This Row],[_WorkPerWorkday]]*(Tasks[[#This Row],[_StartWorkday]]-1)</f>
        <v>-0</v>
      </c>
      <c r="EB78" s="41" t="n">
        <f aca="false">IF(Tasks[[#This Row],[_IsLeaf]]=1,MAX(N(Tasks[[#This Row],[Duration]]),0.1),0)</f>
        <v>0</v>
      </c>
      <c r="EC78" s="41" t="n">
        <f aca="false">Tasks[[#This Row],[_WeightDur]]*Tasks[[#This Row],[_LeafProgress]]</f>
        <v>0</v>
      </c>
      <c r="ED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8" s="41" t="str">
        <f aca="false">IF(AND(Tasks[[#This Row],[_IsLeaf]]=1,N(Tasks[[#This Row],[Duration]])=0,Tasks[[#This Row],[_LeafProgress]]&lt;1),Tasks[[#This Row],[_ShownFcstFinish]]+Tasks[[#This Row],[_Row]]/100000,"")</f>
        <v/>
      </c>
      <c r="EF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8" s="41" t="n">
        <f aca="false">IF(NOT(Tasks[[#This Row],[_IsLeaf]]=1),0,IF(Tasks[[#This Row],[Baseline Cost]]="",Tasks[[#This Row],[_LeafTotalCost]],N(Tasks[[#This Row],[Baseline Cost]])))</f>
        <v>0</v>
      </c>
      <c r="EH78" s="41" t="n">
        <f aca="false">Tasks[[#This Row],[_LeafBudget]]*Tasks[[#This Row],[_PlannedPct]]</f>
        <v>0</v>
      </c>
      <c r="EI78" s="41" t="n">
        <f aca="false">Tasks[[#This Row],[_LeafBudget]]*Tasks[[#This Row],[_LeafProgress]]</f>
        <v>0</v>
      </c>
      <c r="EJ78" s="41" t="n">
        <f aca="false">IF(NOT(Tasks[[#This Row],[_IsLeaf]]=1),0,IF(Tasks[[#This Row],[Actual Cost]]="",Tasks[[#This Row],[_LeafTotalCost]]*Tasks[[#This Row],[_LeafProgress]],N(Tasks[[#This Row],[Actual Cost]])))</f>
        <v>0</v>
      </c>
      <c r="EK78" s="41" t="str">
        <f aca="false">IF(Tasks[[#This Row],[Task Name]]="","",LEFT(Tasks[[#This Row],[WBS]],FIND(".",Tasks[[#This Row],[WBS]]&amp;".")-1))</f>
        <v/>
      </c>
      <c r="EL78" s="41" t="str">
        <f aca="false">IF(AND(Tasks[[#This Row],[Task Name]]&lt;&gt;"",Tasks[[#This Row],[_Level]]=1),Tasks[[#This Row],[_Row]],"")</f>
        <v/>
      </c>
      <c r="EM78" s="41" t="str">
        <f aca="false">IF(AND(Tasks[[#This Row],[_IsLeaf]]=1,N(Tasks[[#This Row],[Duration]])=0),Tasks[[#This Row],[Planned Finish]]+Tasks[[#This Row],[_Row]]/100000,"")</f>
        <v/>
      </c>
      <c r="EN78" s="41" t="str">
        <f aca="false">IF(AND(Tasks[[#This Row],[_IsLeaf]]=1,Tasks[[#This Row],[_LeafProgress]]&lt;1,OR(N(Tasks[[#This Row],[Finish Var]])&gt;0,Tasks[[#This Row],[Status]]="Late Start")),MAX(0,Tasks[[#This Row],[Finish Var]])+1-Tasks[[#This Row],[_Row]]/1000000,"")</f>
        <v/>
      </c>
      <c r="EO78" s="41" t="str">
        <f aca="false">IF(AND(Tasks[[#This Row],[_IsLeaf]]=1,N(Tasks[[#This Row],[Actual Start]])=0,Tasks[[#This Row],[_ShownFcstStart]]&gt;=StatusDate,Tasks[[#This Row],[_ShownFcstStart]]&lt;=LookaheadEnd),Tasks[[#This Row],[_ShownFcstStart]]+Tasks[[#This Row],[_Row]]/100000,"")</f>
        <v/>
      </c>
      <c r="EP78" s="41" t="str">
        <f aca="false">IF(AND(Tasks[[#This Row],[_IsLeaf]]=1,Tasks[[#This Row],[_LeafProgress]]&lt;1,Tasks[[#This Row],[_ShownFcstFinish]]&gt;=StatusDate,Tasks[[#This Row],[_ShownFcstFinish]]&lt;=LookaheadEnd),Tasks[[#This Row],[_ShownFcstFinish]]+Tasks[[#This Row],[_Row]]/100000,"")</f>
        <v/>
      </c>
      <c r="EQ78" s="41" t="str">
        <f aca="false">IF(Tasks[[#This Row],[_LeafCritical]],Tasks[[#This Row],[_ShownFcstStart]]+Tasks[[#This Row],[_Row]]/100000,"")</f>
        <v/>
      </c>
      <c r="ER78" s="41" t="n">
        <f aca="false">Tasks[[#This Row],[_LeafWork]]*Tasks[[#This Row],[_LeafProgress]]</f>
        <v>0</v>
      </c>
      <c r="ES78" s="101" t="str">
        <f aca="false">IF(AND(Tasks[[#This Row],[_IsLeaf]]=1,Tasks[[#This Row],[_LeafProgress]]&gt;=1),IF(N(Tasks[[#This Row],[Actual Finish]])&gt;0,Tasks[[#This Row],[Actual Finish]],Tasks[[#This Row],[_ShownFcstFinish]]),"")</f>
        <v/>
      </c>
      <c r="ET78" s="41" t="n">
        <f aca="false">IF(Tasks[[#This Row],[_IsLeaf]]=1,N(Tasks[[#This Row],[Story Points]]),0)</f>
        <v>0</v>
      </c>
      <c r="EU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29"/>
      <c r="O79" s="29"/>
      <c r="P79" s="29"/>
      <c r="Q79" s="29"/>
      <c r="R79" s="29"/>
      <c r="S79" s="29"/>
      <c r="T79" s="30"/>
      <c r="U79" s="75"/>
      <c r="V79" s="75"/>
      <c r="W79" s="25" t="str">
        <f aca="false">IF(Tasks[[#This Row],[Task Name]]="","",IF(N(Tasks[[#This Row],[Baseline Start]])&gt;0,Tasks[[#This Row],[Baseline Start]],Tasks[[#This Row],[_CalcStart]]))</f>
        <v/>
      </c>
      <c r="X79" s="25" t="str">
        <f aca="false">IF(Tasks[[#This Row],[Task Name]]="","",IF(N(Tasks[[#This Row],[Baseline Finish]])&gt;0,Tasks[[#This Row],[Baseline Finish]],Tasks[[#This Row],[_CalcFinish]]))</f>
        <v/>
      </c>
      <c r="Y79" s="75"/>
      <c r="Z79" s="75"/>
      <c r="AA79" s="25" t="str">
        <f aca="false">IF(Tasks[[#This Row],[Task Name]]="","",IF(Tasks[[#This Row],[_IsSummary]],MIN(INDEX(Tasks[_ShownFcstStart],Tasks[[#This Row],[_Row]]+1):INDEX(Tasks[_ShownFcstStart],Tasks[[#This Row],[_Row]]+Tasks[[#This Row],[_Descendants]])),Tasks[[#This Row],[_ShownFcstStart]]))</f>
        <v/>
      </c>
      <c r="AB79" s="25" t="str">
        <f aca="false">IF(Tasks[[#This Row],[Task Name]]="","",IF(Tasks[[#This Row],[_IsSummary]],MAX(INDEX(Tasks[_ShownFcstFinish],Tasks[[#This Row],[_Row]]+1):INDEX(Tasks[_ShownFcstFinish],Tasks[[#This Row],[_Row]]+Tasks[[#This Row],[_Descendants]])),Tasks[[#This Row],[_ShownFcstFinish]]))</f>
        <v/>
      </c>
      <c r="AC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9" s="25" t="str">
        <f aca="false">IF(Tasks[[#This Row],[Task Name]]="","",IF(Tasks[[#This Row],[_IsSummary]],MIN(INDEX(Tasks[_LeafLateStart],Tasks[[#This Row],[_Row]]+1):INDEX(Tasks[_LeafLateStart],Tasks[[#This Row],[_Row]]+Tasks[[#This Row],[_Descendants]])),Tasks[[#This Row],[_LeafLateStart]]))</f>
        <v/>
      </c>
      <c r="AF79" s="25" t="str">
        <f aca="false">IF(Tasks[[#This Row],[Task Name]]="","",IF(Tasks[[#This Row],[_IsSummary]],MAX(INDEX(Tasks[_LeafLateFinish],Tasks[[#This Row],[_Row]]+1):INDEX(Tasks[_LeafLateFinish],Tasks[[#This Row],[_Row]]+Tasks[[#This Row],[_Descendants]])),Tasks[[#This Row],[_LeafLateFinish]]))</f>
        <v/>
      </c>
      <c r="AG79" s="28" t="str">
        <f aca="false">IF(Tasks[[#This Row],[Task Name]]="","",IF(Tasks[[#This Row],[_IsSummary]],MIN(INDEX(Tasks[_LeafTotalSlack],Tasks[[#This Row],[_Row]]+1):INDEX(Tasks[_LeafTotalSlack],Tasks[[#This Row],[_Row]]+Tasks[[#This Row],[_Descendants]])),Tasks[[#This Row],[_LeafTotalSlack]]))</f>
        <v/>
      </c>
      <c r="AH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9" s="28" t="str">
        <f aca="false">IF(Tasks[[#This Row],[Task Name]]="","",IF(IF(Tasks[[#This Row],[_IsSummary]],COUNTIF(INDEX(Tasks[_LeafCritical],Tasks[[#This Row],[_Row]]+1):INDEX(Tasks[_LeafCritical],Tasks[[#This Row],[_Row]]+Tasks[[#This Row],[_Descendants]]),TRUE())&gt;0,Tasks[[#This Row],[_LeafCritical]]),"Yes",""))</f>
        <v/>
      </c>
      <c r="AJ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9" s="89"/>
      <c r="AM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9" s="28" t="str">
        <f aca="false">IF(Tasks[[#This Row],[Task Name]]="","",IF(Tasks[[#This Row],[Progress]]&gt;=1,"Complete",IF(OR(N(Tasks[[#This Row],[Actual Start]])&gt;0,Tasks[[#This Row],[Progress]]&gt;0),IF(Tasks[[#This Row],[Finish Var]]&gt;0,"Behind","In Progress"),IF(Tasks[[#This Row],[Planned Start]]&lt;StatusDate,"Late Start","Not Started"))))</f>
        <v/>
      </c>
      <c r="AO79" s="30"/>
      <c r="AP79" s="89"/>
      <c r="AQ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9" s="96" t="str">
        <f aca="false">IF(Tasks[[#This Row],[Task Name]]="","",IF(Tasks[[#This Row],[_IsSummary]],SUM(INDEX(Tasks[_LeafTotalWork],Tasks[[#This Row],[_Row]]+1):INDEX(Tasks[_LeafTotalWork],Tasks[[#This Row],[_Row]]+Tasks[[#This Row],[_Descendants]])),Tasks[[#This Row],[_LeafTotalWork]]))</f>
        <v/>
      </c>
      <c r="AT79" s="97" t="str">
        <f aca="false">IF(Tasks[[#This Row],[Task Name]]="","",IF(Tasks[[#This Row],[_IsSummary]],SUM(INDEX(Tasks[_LeafTotalCost],Tasks[[#This Row],[_Row]]+1):INDEX(Tasks[_LeafTotalCost],Tasks[[#This Row],[_Row]]+Tasks[[#This Row],[_Descendants]])),Tasks[[#This Row],[_LeafTotalCost]]))</f>
        <v/>
      </c>
      <c r="AU79" s="98"/>
      <c r="AV79" s="29"/>
      <c r="AW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9" s="83"/>
      <c r="AY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9" s="30"/>
      <c r="BA79" s="25" t="str">
        <f aca="false">IF(Tasks[[#This Row],[Task Name]]="","",Tasks[[#This Row],[Forecast Start]])</f>
        <v/>
      </c>
      <c r="BB79" s="25" t="str">
        <f aca="false">IF(Tasks[[#This Row],[Task Name]]="","",Tasks[[#This Row],[Forecast Finish]])</f>
        <v/>
      </c>
      <c r="BC79" s="28" t="str">
        <f aca="false">IF(Tasks[[#This Row],[Task Name]]="","",IF(Tasks[[#This Row],[_IsSummary]],NETWORKDAYS.INTL(Tasks[[#This Row],[Forecast Start]],Tasks[[#This Row],[Forecast Finish]],WorkWeek,Holidays),N(Tasks[[#This Row],[Duration]])))</f>
        <v/>
      </c>
      <c r="BD79" s="96" t="str">
        <f aca="false">IF(Tasks[[#This Row],[Task Name]]="","",Tasks[[#This Row],[Work]])</f>
        <v/>
      </c>
      <c r="BE79" s="97" t="str">
        <f aca="false">IF(Tasks[[#This Row],[Task Name]]="","",Tasks[[#This Row],[Cost]])</f>
        <v/>
      </c>
      <c r="BF79" s="75"/>
      <c r="BG79" s="75"/>
      <c r="BH79" s="29"/>
      <c r="BI79" s="99"/>
      <c r="BJ79" s="98"/>
      <c r="BK79" s="28" t="str">
        <f aca="false">IF(OR(Tasks[[#This Row],[Task Name]]="",Tasks[[#This Row],[Baseline Duration]]=""),"",Tasks[[#This Row],[BL Source Duration]]-N(Tasks[[#This Row],[Baseline Duration]]))</f>
        <v/>
      </c>
      <c r="BL79" s="96" t="str">
        <f aca="false">IF(OR(Tasks[[#This Row],[Task Name]]="",Tasks[[#This Row],[Baseline Work]]=""),"",Tasks[[#This Row],[Work]]-N(Tasks[[#This Row],[Baseline Work]]))</f>
        <v/>
      </c>
      <c r="BM79" s="97" t="str">
        <f aca="false">IF(OR(Tasks[[#This Row],[Task Name]]="",Tasks[[#This Row],[Baseline Cost]]=""),"",Tasks[[#This Row],[Cost]]-N(Tasks[[#This Row],[Baseline Cost]]))</f>
        <v/>
      </c>
      <c r="BN79" s="97" t="str">
        <f aca="false">IF(Tasks[[#This Row],[Task Name]]="","",IF(Tasks[[#This Row],[_IsSummary]],SUM(INDEX(Tasks[_LeafBudget],Tasks[[#This Row],[_Row]]+1):INDEX(Tasks[_LeafBudget],Tasks[[#This Row],[_Row]]+Tasks[[#This Row],[_Descendants]])),Tasks[[#This Row],[_LeafBudget]]))</f>
        <v/>
      </c>
      <c r="BO79" s="97" t="str">
        <f aca="false">IF(Tasks[[#This Row],[Task Name]]="","",IF(Tasks[[#This Row],[_IsSummary]],SUM(INDEX(Tasks[_LeafPV],Tasks[[#This Row],[_Row]]+1):INDEX(Tasks[_LeafPV],Tasks[[#This Row],[_Row]]+Tasks[[#This Row],[_Descendants]])),Tasks[[#This Row],[_LeafPV]]))</f>
        <v/>
      </c>
      <c r="BP79" s="97" t="str">
        <f aca="false">IF(Tasks[[#This Row],[Task Name]]="","",IF(Tasks[[#This Row],[_IsSummary]],SUM(INDEX(Tasks[_LeafEV],Tasks[[#This Row],[_Row]]+1):INDEX(Tasks[_LeafEV],Tasks[[#This Row],[_Row]]+Tasks[[#This Row],[_Descendants]])),Tasks[[#This Row],[_LeafEV]]))</f>
        <v/>
      </c>
      <c r="BQ79" s="97" t="str">
        <f aca="false">IF(Tasks[[#This Row],[Task Name]]="","",IF(Tasks[[#This Row],[_IsSummary]],SUM(INDEX(Tasks[_LeafAC],Tasks[[#This Row],[_Row]]+1):INDEX(Tasks[_LeafAC],Tasks[[#This Row],[_Row]]+Tasks[[#This Row],[_Descendants]])),Tasks[[#This Row],[_LeafAC]]))</f>
        <v/>
      </c>
      <c r="BR79" s="41" t="str">
        <f aca="false">IF(Tasks[[#This Row],[Task Name]]="","",MAX(1,N(Tasks[[#This Row],[Level]])))</f>
        <v/>
      </c>
      <c r="BS79" s="41" t="n">
        <f aca="false">ROW()-ROW(Tasks[[#Headers],[ID]])</f>
        <v>74</v>
      </c>
      <c r="BT79" s="41" t="n">
        <f aca="false">IF(OR(Tasks[[#This Row],[Task Name]]="",Tasks[[#This Row],[_Level]]&lt;=1),0,IFERROR(LOOKUP(2,1/(Tasks[[#Headers],[_Level]]:Tasks[[#This Row],[_Level]]=Tasks[[#This Row],[_Level]]-1),ROW(Tasks[[#Headers],[_Level]]:Tasks[[#This Row],[_Level]])),0))</f>
        <v>0</v>
      </c>
      <c r="BU79" s="41" t="n">
        <f aca="false">IFERROR(N(INDEX(Tasks[_Level],Tasks[[#This Row],[_Row]]+1)),0)</f>
        <v>0</v>
      </c>
      <c r="BV79" s="100" t="b">
        <f aca="false">AND(Tasks[[#This Row],[Task Name]]&lt;&gt;"",Tasks[[#This Row],[_NextLevel]]&gt;Tasks[[#This Row],[_Level]])</f>
        <v>0</v>
      </c>
      <c r="BW79" s="41" t="n">
        <f aca="false">IF(Tasks[[#This Row],[_IsSummary]],COUNTIF(Tasks[WBS],Tasks[[#This Row],[WBS]]&amp;".*"),0)</f>
        <v>0</v>
      </c>
      <c r="BX79" s="41" t="n">
        <f aca="false">IF(AND(Tasks[[#This Row],[Task Name]]&lt;&gt;"",NOT(Tasks[[#This Row],[_IsSummary]])),1,0)</f>
        <v>0</v>
      </c>
      <c r="BY79" s="41" t="n">
        <f aca="false">IF(N(Tasks[[#This Row],[Pred1 UID]])=0,0,IFERROR(MATCH(Tasks[[#This Row],[Pred1 UID]],Tasks[UID],0),-1))</f>
        <v>0</v>
      </c>
      <c r="BZ79" s="41" t="n">
        <f aca="false">IF(N(Tasks[[#This Row],[Pred2 UID]])=0,0,IFERROR(MATCH(Tasks[[#This Row],[Pred2 UID]],Tasks[UID],0),-1))</f>
        <v>0</v>
      </c>
      <c r="CA79" s="41" t="n">
        <f aca="false">IF(N(Tasks[[#This Row],[Pred3 UID]])=0,0,IFERROR(MATCH(Tasks[[#This Row],[Pred3 UID]],Tasks[UID],0),-1))</f>
        <v>0</v>
      </c>
      <c r="CB79" s="41" t="n">
        <f aca="false">IF(N(Tasks[[#This Row],[Pred4 UID]])=0,0,IFERROR(MATCH(Tasks[[#This Row],[Pred4 UID]],Tasks[UID],0),-1))</f>
        <v>0</v>
      </c>
      <c r="CC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9" s="101" t="n">
        <f aca="false">IF(OR(Tasks[[#This Row],[_ConstraintCode]]=2,Tasks[[#This Row],[_ConstraintCode]]=3,Tasks[[#This Row],[_ConstraintCode]]=4,Tasks[[#This Row],[_ConstraintCode]]=6),Tasks[[#This Row],[_ConstraintStart]],0)</f>
        <v>0</v>
      </c>
      <c r="CF79" s="101" t="n">
        <f aca="false">IF(OR(Tasks[[#This Row],[_ConstraintCode]]=2,Tasks[[#This Row],[_ConstraintCode]]=3,Tasks[[#This Row],[_ConstraintCode]]=5,Tasks[[#This Row],[_ConstraintCode]]=7),Tasks[[#This Row],[_ConstraintStart]],2958465)</f>
        <v>2958465</v>
      </c>
      <c r="CG7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9" s="101" t="str">
        <f aca="false">IF(NOT(Tasks[[#This Row],[_IsLeaf]]=1),"",IF(N(Tasks[[#This Row],[Duration]])&lt;=0,Tasks[[#This Row],[_LeafCalcStart]],WORKDAY.INTL(Tasks[[#This Row],[_LeafCalcStart]],Tasks[[#This Row],[Duration]]-1,WorkWeek,Holidays)))</f>
        <v/>
      </c>
      <c r="CI7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9" s="41" t="n">
        <f aca="false">IF(NOT(Tasks[[#This Row],[_IsLeaf]]=1),0,IF(N(Tasks[[#This Row],[Actual Finish]])&gt;0,1,MIN(1,N(Tasks[[#This Row],[% Complete]]))))</f>
        <v>0</v>
      </c>
      <c r="CL79" s="41" t="n">
        <f aca="false">IF(OR(NOT(Tasks[[#This Row],[_IsLeaf]]=1),Tasks[[#This Row],[Resource]]=""),0,N(Tasks[[#This Row],[Duration]])*HoursPerDay*IF(Tasks[[#This Row],[Units]]="",DefaultUnits,Tasks[[#This Row],[Units]]))</f>
        <v>0</v>
      </c>
      <c r="CM79" s="41" t="n">
        <f aca="false">IF(Tasks[[#This Row],[_LeafWork]]=0,0,Tasks[[#This Row],[_LeafWork]]*IFERROR(INDEX(res_Rate,MATCH(Tasks[[#This Row],[Resource]],res_Name,0)),0))</f>
        <v>0</v>
      </c>
      <c r="CN79" s="41" t="n">
        <f aca="false">Tasks[[#This Row],[_LeafWork]]+IF(Tasks[[#This Row],[_IsLeaf]]=1,SUMIFS(asg_Work,asg_TaskUID,Tasks[[#This Row],[UID]],asg_Valid,1),0)</f>
        <v>0</v>
      </c>
      <c r="CO79" s="41" t="n">
        <f aca="false">Tasks[[#This Row],[_LeafCost]]+IF(Tasks[[#This Row],[_IsLeaf]]=1,SUMIFS(asg_Cost,asg_TaskUID,Tasks[[#This Row],[UID]],asg_Valid,1),0)</f>
        <v>0</v>
      </c>
      <c r="CP79" s="41" t="n">
        <f aca="false">IF(Tasks[[#This Row],[_LeafTotalCost]]=0,Tasks[[#This Row],[_LeafAC]],Tasks[[#This Row],[_LeafAC]]*Tasks[[#This Row],[_LeafCost]]/Tasks[[#This Row],[_LeafTotalCost]])</f>
        <v>0</v>
      </c>
      <c r="CQ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9" s="41" t="n">
        <f aca="false">IF(NOT(Tasks[[#This Row],[_IsLeaf]]=1),0,MAX(_xlfn.MAXIFS(Tasks[_Row],Tasks[Pred1 UID],Tasks[[#This Row],[UID]]),_xlfn.MAXIFS(Tasks[_Row],Tasks[Pred2 UID],Tasks[[#This Row],[UID]]),_xlfn.MAXIFS(Tasks[_Row],Tasks[Pred3 UID],Tasks[[#This Row],[UID]]),_xlfn.MAXIFS(Tasks[_Row],Tasks[Pred4 UID],Tasks[[#This Row],[UID]])))</f>
        <v>0</v>
      </c>
      <c r="CZ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9" s="101" t="str">
        <f aca="false">IF(NOT(Tasks[[#This Row],[_IsLeaf]]=1),"",IF(N(Tasks[[#This Row],[Duration]])&lt;=0,Tasks[[#This Row],[_LeafLateFinish]],WORKDAY.INTL(Tasks[[#This Row],[_LeafLateFinish]],-(Tasks[[#This Row],[Duration]]-1),WorkWeek,Holidays)))</f>
        <v/>
      </c>
      <c r="DC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9" s="100" t="b">
        <f aca="false">AND(Tasks[[#This Row],[_IsLeaf]]=1,Tasks[[#This Row],[_LeafProgress]]&lt;1,N(Tasks[[#This Row],[_LeafTotalSlack]])&lt;=CriticalSlackDays)</f>
        <v>0</v>
      </c>
      <c r="DE79" s="41" t="n">
        <f aca="false">IF(AND(Tasks[[#This Row],[_IsLeaf]]=1,Tasks[[#This Row],[_ConstraintCode]]=1,Tasks[[#This Row],[Mode]]&lt;&gt;"Manual",N(Tasks[[#This Row],[Actual Start]])=0),MAX(0,N(Tasks[[#This Row],[Free Slack]])),0)</f>
        <v>0</v>
      </c>
      <c r="DF79" s="101" t="str">
        <f aca="false">IF(NOT(Tasks[[#This Row],[_IsLeaf]]=1),"",IF(Tasks[[#This Row],[_AlapShift]]=0,Tasks[[#This Row],[_LeafCalcStart]],WORKDAY.INTL(Tasks[[#This Row],[_LeafCalcStart]],Tasks[[#This Row],[_AlapShift]],WorkWeek,Holidays)))</f>
        <v/>
      </c>
      <c r="DG79" s="101" t="str">
        <f aca="false">IF(NOT(Tasks[[#This Row],[_IsLeaf]]=1),"",IF(Tasks[[#This Row],[_AlapShift]]=0,Tasks[[#This Row],[_LeafCalcFinish]],WORKDAY.INTL(Tasks[[#This Row],[_LeafCalcFinish]],Tasks[[#This Row],[_AlapShift]],WorkWeek,Holidays)))</f>
        <v/>
      </c>
      <c r="DH79" s="101" t="str">
        <f aca="false">IF(NOT(Tasks[[#This Row],[_IsLeaf]]=1),"",IF(Tasks[[#This Row],[_AlapShift]]=0,Tasks[[#This Row],[_LeafFcstStart]],WORKDAY.INTL(Tasks[[#This Row],[_LeafFcstStart]],Tasks[[#This Row],[_AlapShift]],WorkWeek,Holidays)))</f>
        <v/>
      </c>
      <c r="DI79" s="101" t="str">
        <f aca="false">IF(NOT(Tasks[[#This Row],[_IsLeaf]]=1),"",IF(Tasks[[#This Row],[_AlapShift]]=0,Tasks[[#This Row],[_LeafFcstFinish]],WORKDAY.INTL(Tasks[[#This Row],[_LeafFcstFinish]],Tasks[[#This Row],[_AlapShift]],WorkWeek,Holidays)))</f>
        <v/>
      </c>
      <c r="DJ79" s="101" t="str">
        <f aca="false">IF(Tasks[[#This Row],[Task Name]]="","",IF(Tasks[[#This Row],[_IsSummary]],MIN(INDEX(Tasks[_ShownCalcStart],Tasks[[#This Row],[_Row]]+1):INDEX(Tasks[_ShownCalcStart],Tasks[[#This Row],[_Row]]+Tasks[[#This Row],[_Descendants]])),Tasks[[#This Row],[_ShownCalcStart]]))</f>
        <v/>
      </c>
      <c r="DK79" s="101" t="str">
        <f aca="false">IF(Tasks[[#This Row],[Task Name]]="","",IF(Tasks[[#This Row],[_IsSummary]],MAX(INDEX(Tasks[_ShownCalcFinish],Tasks[[#This Row],[_Row]]+1):INDEX(Tasks[_ShownCalcFinish],Tasks[[#This Row],[_Row]]+Tasks[[#This Row],[_Descendants]])),Tasks[[#This Row],[_ShownCalcFinish]]))</f>
        <v/>
      </c>
      <c r="D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9" s="41" t="n">
        <f aca="false">IF(AND(Tasks[[#This Row],[_IsLeaf]]=1,Tasks[[#This Row],[_LeafTotalWork]]&gt;0),NETWORKDAYS.INTL(ProjectStart,Tasks[[#This Row],[_ShownFcstStart]],WorkWeek,Holidays),0)</f>
        <v>0</v>
      </c>
      <c r="DY79" s="41" t="n">
        <f aca="false">IF(AND(Tasks[[#This Row],[_IsLeaf]]=1,Tasks[[#This Row],[_LeafTotalWork]]&gt;0),MAX(Tasks[[#This Row],[_StartWorkday]],NETWORKDAYS.INTL(ProjectStart,Tasks[[#This Row],[_ShownFcstFinish]],WorkWeek,Holidays)),0)</f>
        <v>0</v>
      </c>
      <c r="DZ79" s="41" t="n">
        <f aca="false">IF(AND(Tasks[[#This Row],[_IsLeaf]]=1,Tasks[[#This Row],[_LeafTotalWork]]&gt;0),Tasks[[#This Row],[_LeafWork]]/(Tasks[[#This Row],[_FinishWorkday]]-Tasks[[#This Row],[_StartWorkday]]+1),0)</f>
        <v>0</v>
      </c>
      <c r="EA79" s="41" t="n">
        <f aca="false">Tasks[[#This Row],[_WorkPerWorkday]]*(Tasks[[#This Row],[_StartWorkday]]-1)</f>
        <v>-0</v>
      </c>
      <c r="EB79" s="41" t="n">
        <f aca="false">IF(Tasks[[#This Row],[_IsLeaf]]=1,MAX(N(Tasks[[#This Row],[Duration]]),0.1),0)</f>
        <v>0</v>
      </c>
      <c r="EC79" s="41" t="n">
        <f aca="false">Tasks[[#This Row],[_WeightDur]]*Tasks[[#This Row],[_LeafProgress]]</f>
        <v>0</v>
      </c>
      <c r="ED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9" s="41" t="str">
        <f aca="false">IF(AND(Tasks[[#This Row],[_IsLeaf]]=1,N(Tasks[[#This Row],[Duration]])=0,Tasks[[#This Row],[_LeafProgress]]&lt;1),Tasks[[#This Row],[_ShownFcstFinish]]+Tasks[[#This Row],[_Row]]/100000,"")</f>
        <v/>
      </c>
      <c r="EF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9" s="41" t="n">
        <f aca="false">IF(NOT(Tasks[[#This Row],[_IsLeaf]]=1),0,IF(Tasks[[#This Row],[Baseline Cost]]="",Tasks[[#This Row],[_LeafTotalCost]],N(Tasks[[#This Row],[Baseline Cost]])))</f>
        <v>0</v>
      </c>
      <c r="EH79" s="41" t="n">
        <f aca="false">Tasks[[#This Row],[_LeafBudget]]*Tasks[[#This Row],[_PlannedPct]]</f>
        <v>0</v>
      </c>
      <c r="EI79" s="41" t="n">
        <f aca="false">Tasks[[#This Row],[_LeafBudget]]*Tasks[[#This Row],[_LeafProgress]]</f>
        <v>0</v>
      </c>
      <c r="EJ79" s="41" t="n">
        <f aca="false">IF(NOT(Tasks[[#This Row],[_IsLeaf]]=1),0,IF(Tasks[[#This Row],[Actual Cost]]="",Tasks[[#This Row],[_LeafTotalCost]]*Tasks[[#This Row],[_LeafProgress]],N(Tasks[[#This Row],[Actual Cost]])))</f>
        <v>0</v>
      </c>
      <c r="EK79" s="41" t="str">
        <f aca="false">IF(Tasks[[#This Row],[Task Name]]="","",LEFT(Tasks[[#This Row],[WBS]],FIND(".",Tasks[[#This Row],[WBS]]&amp;".")-1))</f>
        <v/>
      </c>
      <c r="EL79" s="41" t="str">
        <f aca="false">IF(AND(Tasks[[#This Row],[Task Name]]&lt;&gt;"",Tasks[[#This Row],[_Level]]=1),Tasks[[#This Row],[_Row]],"")</f>
        <v/>
      </c>
      <c r="EM79" s="41" t="str">
        <f aca="false">IF(AND(Tasks[[#This Row],[_IsLeaf]]=1,N(Tasks[[#This Row],[Duration]])=0),Tasks[[#This Row],[Planned Finish]]+Tasks[[#This Row],[_Row]]/100000,"")</f>
        <v/>
      </c>
      <c r="EN79" s="41" t="str">
        <f aca="false">IF(AND(Tasks[[#This Row],[_IsLeaf]]=1,Tasks[[#This Row],[_LeafProgress]]&lt;1,OR(N(Tasks[[#This Row],[Finish Var]])&gt;0,Tasks[[#This Row],[Status]]="Late Start")),MAX(0,Tasks[[#This Row],[Finish Var]])+1-Tasks[[#This Row],[_Row]]/1000000,"")</f>
        <v/>
      </c>
      <c r="EO79" s="41" t="str">
        <f aca="false">IF(AND(Tasks[[#This Row],[_IsLeaf]]=1,N(Tasks[[#This Row],[Actual Start]])=0,Tasks[[#This Row],[_ShownFcstStart]]&gt;=StatusDate,Tasks[[#This Row],[_ShownFcstStart]]&lt;=LookaheadEnd),Tasks[[#This Row],[_ShownFcstStart]]+Tasks[[#This Row],[_Row]]/100000,"")</f>
        <v/>
      </c>
      <c r="EP79" s="41" t="str">
        <f aca="false">IF(AND(Tasks[[#This Row],[_IsLeaf]]=1,Tasks[[#This Row],[_LeafProgress]]&lt;1,Tasks[[#This Row],[_ShownFcstFinish]]&gt;=StatusDate,Tasks[[#This Row],[_ShownFcstFinish]]&lt;=LookaheadEnd),Tasks[[#This Row],[_ShownFcstFinish]]+Tasks[[#This Row],[_Row]]/100000,"")</f>
        <v/>
      </c>
      <c r="EQ79" s="41" t="str">
        <f aca="false">IF(Tasks[[#This Row],[_LeafCritical]],Tasks[[#This Row],[_ShownFcstStart]]+Tasks[[#This Row],[_Row]]/100000,"")</f>
        <v/>
      </c>
      <c r="ER79" s="41" t="n">
        <f aca="false">Tasks[[#This Row],[_LeafWork]]*Tasks[[#This Row],[_LeafProgress]]</f>
        <v>0</v>
      </c>
      <c r="ES79" s="101" t="str">
        <f aca="false">IF(AND(Tasks[[#This Row],[_IsLeaf]]=1,Tasks[[#This Row],[_LeafProgress]]&gt;=1),IF(N(Tasks[[#This Row],[Actual Finish]])&gt;0,Tasks[[#This Row],[Actual Finish]],Tasks[[#This Row],[_ShownFcstFinish]]),"")</f>
        <v/>
      </c>
      <c r="ET79" s="41" t="n">
        <f aca="false">IF(Tasks[[#This Row],[_IsLeaf]]=1,N(Tasks[[#This Row],[Story Points]]),0)</f>
        <v>0</v>
      </c>
      <c r="EU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29"/>
      <c r="O80" s="29"/>
      <c r="P80" s="29"/>
      <c r="Q80" s="29"/>
      <c r="R80" s="29"/>
      <c r="S80" s="29"/>
      <c r="T80" s="30"/>
      <c r="U80" s="75"/>
      <c r="V80" s="75"/>
      <c r="W80" s="25" t="str">
        <f aca="false">IF(Tasks[[#This Row],[Task Name]]="","",IF(N(Tasks[[#This Row],[Baseline Start]])&gt;0,Tasks[[#This Row],[Baseline Start]],Tasks[[#This Row],[_CalcStart]]))</f>
        <v/>
      </c>
      <c r="X80" s="25" t="str">
        <f aca="false">IF(Tasks[[#This Row],[Task Name]]="","",IF(N(Tasks[[#This Row],[Baseline Finish]])&gt;0,Tasks[[#This Row],[Baseline Finish]],Tasks[[#This Row],[_CalcFinish]]))</f>
        <v/>
      </c>
      <c r="Y80" s="75"/>
      <c r="Z80" s="75"/>
      <c r="AA80" s="25" t="str">
        <f aca="false">IF(Tasks[[#This Row],[Task Name]]="","",IF(Tasks[[#This Row],[_IsSummary]],MIN(INDEX(Tasks[_ShownFcstStart],Tasks[[#This Row],[_Row]]+1):INDEX(Tasks[_ShownFcstStart],Tasks[[#This Row],[_Row]]+Tasks[[#This Row],[_Descendants]])),Tasks[[#This Row],[_ShownFcstStart]]))</f>
        <v/>
      </c>
      <c r="AB80" s="25" t="str">
        <f aca="false">IF(Tasks[[#This Row],[Task Name]]="","",IF(Tasks[[#This Row],[_IsSummary]],MAX(INDEX(Tasks[_ShownFcstFinish],Tasks[[#This Row],[_Row]]+1):INDEX(Tasks[_ShownFcstFinish],Tasks[[#This Row],[_Row]]+Tasks[[#This Row],[_Descendants]])),Tasks[[#This Row],[_ShownFcstFinish]]))</f>
        <v/>
      </c>
      <c r="AC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0" s="25" t="str">
        <f aca="false">IF(Tasks[[#This Row],[Task Name]]="","",IF(Tasks[[#This Row],[_IsSummary]],MIN(INDEX(Tasks[_LeafLateStart],Tasks[[#This Row],[_Row]]+1):INDEX(Tasks[_LeafLateStart],Tasks[[#This Row],[_Row]]+Tasks[[#This Row],[_Descendants]])),Tasks[[#This Row],[_LeafLateStart]]))</f>
        <v/>
      </c>
      <c r="AF80" s="25" t="str">
        <f aca="false">IF(Tasks[[#This Row],[Task Name]]="","",IF(Tasks[[#This Row],[_IsSummary]],MAX(INDEX(Tasks[_LeafLateFinish],Tasks[[#This Row],[_Row]]+1):INDEX(Tasks[_LeafLateFinish],Tasks[[#This Row],[_Row]]+Tasks[[#This Row],[_Descendants]])),Tasks[[#This Row],[_LeafLateFinish]]))</f>
        <v/>
      </c>
      <c r="AG80" s="28" t="str">
        <f aca="false">IF(Tasks[[#This Row],[Task Name]]="","",IF(Tasks[[#This Row],[_IsSummary]],MIN(INDEX(Tasks[_LeafTotalSlack],Tasks[[#This Row],[_Row]]+1):INDEX(Tasks[_LeafTotalSlack],Tasks[[#This Row],[_Row]]+Tasks[[#This Row],[_Descendants]])),Tasks[[#This Row],[_LeafTotalSlack]]))</f>
        <v/>
      </c>
      <c r="AH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0" s="28" t="str">
        <f aca="false">IF(Tasks[[#This Row],[Task Name]]="","",IF(IF(Tasks[[#This Row],[_IsSummary]],COUNTIF(INDEX(Tasks[_LeafCritical],Tasks[[#This Row],[_Row]]+1):INDEX(Tasks[_LeafCritical],Tasks[[#This Row],[_Row]]+Tasks[[#This Row],[_Descendants]]),TRUE())&gt;0,Tasks[[#This Row],[_LeafCritical]]),"Yes",""))</f>
        <v/>
      </c>
      <c r="AJ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0" s="89"/>
      <c r="AM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0" s="28" t="str">
        <f aca="false">IF(Tasks[[#This Row],[Task Name]]="","",IF(Tasks[[#This Row],[Progress]]&gt;=1,"Complete",IF(OR(N(Tasks[[#This Row],[Actual Start]])&gt;0,Tasks[[#This Row],[Progress]]&gt;0),IF(Tasks[[#This Row],[Finish Var]]&gt;0,"Behind","In Progress"),IF(Tasks[[#This Row],[Planned Start]]&lt;StatusDate,"Late Start","Not Started"))))</f>
        <v/>
      </c>
      <c r="AO80" s="30"/>
      <c r="AP80" s="89"/>
      <c r="AQ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0" s="96" t="str">
        <f aca="false">IF(Tasks[[#This Row],[Task Name]]="","",IF(Tasks[[#This Row],[_IsSummary]],SUM(INDEX(Tasks[_LeafTotalWork],Tasks[[#This Row],[_Row]]+1):INDEX(Tasks[_LeafTotalWork],Tasks[[#This Row],[_Row]]+Tasks[[#This Row],[_Descendants]])),Tasks[[#This Row],[_LeafTotalWork]]))</f>
        <v/>
      </c>
      <c r="AT80" s="97" t="str">
        <f aca="false">IF(Tasks[[#This Row],[Task Name]]="","",IF(Tasks[[#This Row],[_IsSummary]],SUM(INDEX(Tasks[_LeafTotalCost],Tasks[[#This Row],[_Row]]+1):INDEX(Tasks[_LeafTotalCost],Tasks[[#This Row],[_Row]]+Tasks[[#This Row],[_Descendants]])),Tasks[[#This Row],[_LeafTotalCost]]))</f>
        <v/>
      </c>
      <c r="AU80" s="98"/>
      <c r="AV80" s="29"/>
      <c r="AW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0" s="83"/>
      <c r="AY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0" s="30"/>
      <c r="BA80" s="25" t="str">
        <f aca="false">IF(Tasks[[#This Row],[Task Name]]="","",Tasks[[#This Row],[Forecast Start]])</f>
        <v/>
      </c>
      <c r="BB80" s="25" t="str">
        <f aca="false">IF(Tasks[[#This Row],[Task Name]]="","",Tasks[[#This Row],[Forecast Finish]])</f>
        <v/>
      </c>
      <c r="BC80" s="28" t="str">
        <f aca="false">IF(Tasks[[#This Row],[Task Name]]="","",IF(Tasks[[#This Row],[_IsSummary]],NETWORKDAYS.INTL(Tasks[[#This Row],[Forecast Start]],Tasks[[#This Row],[Forecast Finish]],WorkWeek,Holidays),N(Tasks[[#This Row],[Duration]])))</f>
        <v/>
      </c>
      <c r="BD80" s="96" t="str">
        <f aca="false">IF(Tasks[[#This Row],[Task Name]]="","",Tasks[[#This Row],[Work]])</f>
        <v/>
      </c>
      <c r="BE80" s="97" t="str">
        <f aca="false">IF(Tasks[[#This Row],[Task Name]]="","",Tasks[[#This Row],[Cost]])</f>
        <v/>
      </c>
      <c r="BF80" s="75"/>
      <c r="BG80" s="75"/>
      <c r="BH80" s="29"/>
      <c r="BI80" s="99"/>
      <c r="BJ80" s="98"/>
      <c r="BK80" s="28" t="str">
        <f aca="false">IF(OR(Tasks[[#This Row],[Task Name]]="",Tasks[[#This Row],[Baseline Duration]]=""),"",Tasks[[#This Row],[BL Source Duration]]-N(Tasks[[#This Row],[Baseline Duration]]))</f>
        <v/>
      </c>
      <c r="BL80" s="96" t="str">
        <f aca="false">IF(OR(Tasks[[#This Row],[Task Name]]="",Tasks[[#This Row],[Baseline Work]]=""),"",Tasks[[#This Row],[Work]]-N(Tasks[[#This Row],[Baseline Work]]))</f>
        <v/>
      </c>
      <c r="BM80" s="97" t="str">
        <f aca="false">IF(OR(Tasks[[#This Row],[Task Name]]="",Tasks[[#This Row],[Baseline Cost]]=""),"",Tasks[[#This Row],[Cost]]-N(Tasks[[#This Row],[Baseline Cost]]))</f>
        <v/>
      </c>
      <c r="BN80" s="97" t="str">
        <f aca="false">IF(Tasks[[#This Row],[Task Name]]="","",IF(Tasks[[#This Row],[_IsSummary]],SUM(INDEX(Tasks[_LeafBudget],Tasks[[#This Row],[_Row]]+1):INDEX(Tasks[_LeafBudget],Tasks[[#This Row],[_Row]]+Tasks[[#This Row],[_Descendants]])),Tasks[[#This Row],[_LeafBudget]]))</f>
        <v/>
      </c>
      <c r="BO80" s="97" t="str">
        <f aca="false">IF(Tasks[[#This Row],[Task Name]]="","",IF(Tasks[[#This Row],[_IsSummary]],SUM(INDEX(Tasks[_LeafPV],Tasks[[#This Row],[_Row]]+1):INDEX(Tasks[_LeafPV],Tasks[[#This Row],[_Row]]+Tasks[[#This Row],[_Descendants]])),Tasks[[#This Row],[_LeafPV]]))</f>
        <v/>
      </c>
      <c r="BP80" s="97" t="str">
        <f aca="false">IF(Tasks[[#This Row],[Task Name]]="","",IF(Tasks[[#This Row],[_IsSummary]],SUM(INDEX(Tasks[_LeafEV],Tasks[[#This Row],[_Row]]+1):INDEX(Tasks[_LeafEV],Tasks[[#This Row],[_Row]]+Tasks[[#This Row],[_Descendants]])),Tasks[[#This Row],[_LeafEV]]))</f>
        <v/>
      </c>
      <c r="BQ80" s="97" t="str">
        <f aca="false">IF(Tasks[[#This Row],[Task Name]]="","",IF(Tasks[[#This Row],[_IsSummary]],SUM(INDEX(Tasks[_LeafAC],Tasks[[#This Row],[_Row]]+1):INDEX(Tasks[_LeafAC],Tasks[[#This Row],[_Row]]+Tasks[[#This Row],[_Descendants]])),Tasks[[#This Row],[_LeafAC]]))</f>
        <v/>
      </c>
      <c r="BR80" s="41" t="str">
        <f aca="false">IF(Tasks[[#This Row],[Task Name]]="","",MAX(1,N(Tasks[[#This Row],[Level]])))</f>
        <v/>
      </c>
      <c r="BS80" s="41" t="n">
        <f aca="false">ROW()-ROW(Tasks[[#Headers],[ID]])</f>
        <v>75</v>
      </c>
      <c r="BT80" s="41" t="n">
        <f aca="false">IF(OR(Tasks[[#This Row],[Task Name]]="",Tasks[[#This Row],[_Level]]&lt;=1),0,IFERROR(LOOKUP(2,1/(Tasks[[#Headers],[_Level]]:Tasks[[#This Row],[_Level]]=Tasks[[#This Row],[_Level]]-1),ROW(Tasks[[#Headers],[_Level]]:Tasks[[#This Row],[_Level]])),0))</f>
        <v>0</v>
      </c>
      <c r="BU80" s="41" t="n">
        <f aca="false">IFERROR(N(INDEX(Tasks[_Level],Tasks[[#This Row],[_Row]]+1)),0)</f>
        <v>0</v>
      </c>
      <c r="BV80" s="100" t="b">
        <f aca="false">AND(Tasks[[#This Row],[Task Name]]&lt;&gt;"",Tasks[[#This Row],[_NextLevel]]&gt;Tasks[[#This Row],[_Level]])</f>
        <v>0</v>
      </c>
      <c r="BW80" s="41" t="n">
        <f aca="false">IF(Tasks[[#This Row],[_IsSummary]],COUNTIF(Tasks[WBS],Tasks[[#This Row],[WBS]]&amp;".*"),0)</f>
        <v>0</v>
      </c>
      <c r="BX80" s="41" t="n">
        <f aca="false">IF(AND(Tasks[[#This Row],[Task Name]]&lt;&gt;"",NOT(Tasks[[#This Row],[_IsSummary]])),1,0)</f>
        <v>0</v>
      </c>
      <c r="BY80" s="41" t="n">
        <f aca="false">IF(N(Tasks[[#This Row],[Pred1 UID]])=0,0,IFERROR(MATCH(Tasks[[#This Row],[Pred1 UID]],Tasks[UID],0),-1))</f>
        <v>0</v>
      </c>
      <c r="BZ80" s="41" t="n">
        <f aca="false">IF(N(Tasks[[#This Row],[Pred2 UID]])=0,0,IFERROR(MATCH(Tasks[[#This Row],[Pred2 UID]],Tasks[UID],0),-1))</f>
        <v>0</v>
      </c>
      <c r="CA80" s="41" t="n">
        <f aca="false">IF(N(Tasks[[#This Row],[Pred3 UID]])=0,0,IFERROR(MATCH(Tasks[[#This Row],[Pred3 UID]],Tasks[UID],0),-1))</f>
        <v>0</v>
      </c>
      <c r="CB80" s="41" t="n">
        <f aca="false">IF(N(Tasks[[#This Row],[Pred4 UID]])=0,0,IFERROR(MATCH(Tasks[[#This Row],[Pred4 UID]],Tasks[UID],0),-1))</f>
        <v>0</v>
      </c>
      <c r="CC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0" s="101" t="n">
        <f aca="false">IF(OR(Tasks[[#This Row],[_ConstraintCode]]=2,Tasks[[#This Row],[_ConstraintCode]]=3,Tasks[[#This Row],[_ConstraintCode]]=4,Tasks[[#This Row],[_ConstraintCode]]=6),Tasks[[#This Row],[_ConstraintStart]],0)</f>
        <v>0</v>
      </c>
      <c r="CF80" s="101" t="n">
        <f aca="false">IF(OR(Tasks[[#This Row],[_ConstraintCode]]=2,Tasks[[#This Row],[_ConstraintCode]]=3,Tasks[[#This Row],[_ConstraintCode]]=5,Tasks[[#This Row],[_ConstraintCode]]=7),Tasks[[#This Row],[_ConstraintStart]],2958465)</f>
        <v>2958465</v>
      </c>
      <c r="CG8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0" s="101" t="str">
        <f aca="false">IF(NOT(Tasks[[#This Row],[_IsLeaf]]=1),"",IF(N(Tasks[[#This Row],[Duration]])&lt;=0,Tasks[[#This Row],[_LeafCalcStart]],WORKDAY.INTL(Tasks[[#This Row],[_LeafCalcStart]],Tasks[[#This Row],[Duration]]-1,WorkWeek,Holidays)))</f>
        <v/>
      </c>
      <c r="CI8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0" s="41" t="n">
        <f aca="false">IF(NOT(Tasks[[#This Row],[_IsLeaf]]=1),0,IF(N(Tasks[[#This Row],[Actual Finish]])&gt;0,1,MIN(1,N(Tasks[[#This Row],[% Complete]]))))</f>
        <v>0</v>
      </c>
      <c r="CL80" s="41" t="n">
        <f aca="false">IF(OR(NOT(Tasks[[#This Row],[_IsLeaf]]=1),Tasks[[#This Row],[Resource]]=""),0,N(Tasks[[#This Row],[Duration]])*HoursPerDay*IF(Tasks[[#This Row],[Units]]="",DefaultUnits,Tasks[[#This Row],[Units]]))</f>
        <v>0</v>
      </c>
      <c r="CM80" s="41" t="n">
        <f aca="false">IF(Tasks[[#This Row],[_LeafWork]]=0,0,Tasks[[#This Row],[_LeafWork]]*IFERROR(INDEX(res_Rate,MATCH(Tasks[[#This Row],[Resource]],res_Name,0)),0))</f>
        <v>0</v>
      </c>
      <c r="CN80" s="41" t="n">
        <f aca="false">Tasks[[#This Row],[_LeafWork]]+IF(Tasks[[#This Row],[_IsLeaf]]=1,SUMIFS(asg_Work,asg_TaskUID,Tasks[[#This Row],[UID]],asg_Valid,1),0)</f>
        <v>0</v>
      </c>
      <c r="CO80" s="41" t="n">
        <f aca="false">Tasks[[#This Row],[_LeafCost]]+IF(Tasks[[#This Row],[_IsLeaf]]=1,SUMIFS(asg_Cost,asg_TaskUID,Tasks[[#This Row],[UID]],asg_Valid,1),0)</f>
        <v>0</v>
      </c>
      <c r="CP80" s="41" t="n">
        <f aca="false">IF(Tasks[[#This Row],[_LeafTotalCost]]=0,Tasks[[#This Row],[_LeafAC]],Tasks[[#This Row],[_LeafAC]]*Tasks[[#This Row],[_LeafCost]]/Tasks[[#This Row],[_LeafTotalCost]])</f>
        <v>0</v>
      </c>
      <c r="CQ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0" s="41" t="n">
        <f aca="false">IF(NOT(Tasks[[#This Row],[_IsLeaf]]=1),0,MAX(_xlfn.MAXIFS(Tasks[_Row],Tasks[Pred1 UID],Tasks[[#This Row],[UID]]),_xlfn.MAXIFS(Tasks[_Row],Tasks[Pred2 UID],Tasks[[#This Row],[UID]]),_xlfn.MAXIFS(Tasks[_Row],Tasks[Pred3 UID],Tasks[[#This Row],[UID]]),_xlfn.MAXIFS(Tasks[_Row],Tasks[Pred4 UID],Tasks[[#This Row],[UID]])))</f>
        <v>0</v>
      </c>
      <c r="CZ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0" s="101" t="str">
        <f aca="false">IF(NOT(Tasks[[#This Row],[_IsLeaf]]=1),"",IF(N(Tasks[[#This Row],[Duration]])&lt;=0,Tasks[[#This Row],[_LeafLateFinish]],WORKDAY.INTL(Tasks[[#This Row],[_LeafLateFinish]],-(Tasks[[#This Row],[Duration]]-1),WorkWeek,Holidays)))</f>
        <v/>
      </c>
      <c r="DC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0" s="100" t="b">
        <f aca="false">AND(Tasks[[#This Row],[_IsLeaf]]=1,Tasks[[#This Row],[_LeafProgress]]&lt;1,N(Tasks[[#This Row],[_LeafTotalSlack]])&lt;=CriticalSlackDays)</f>
        <v>0</v>
      </c>
      <c r="DE80" s="41" t="n">
        <f aca="false">IF(AND(Tasks[[#This Row],[_IsLeaf]]=1,Tasks[[#This Row],[_ConstraintCode]]=1,Tasks[[#This Row],[Mode]]&lt;&gt;"Manual",N(Tasks[[#This Row],[Actual Start]])=0),MAX(0,N(Tasks[[#This Row],[Free Slack]])),0)</f>
        <v>0</v>
      </c>
      <c r="DF80" s="101" t="str">
        <f aca="false">IF(NOT(Tasks[[#This Row],[_IsLeaf]]=1),"",IF(Tasks[[#This Row],[_AlapShift]]=0,Tasks[[#This Row],[_LeafCalcStart]],WORKDAY.INTL(Tasks[[#This Row],[_LeafCalcStart]],Tasks[[#This Row],[_AlapShift]],WorkWeek,Holidays)))</f>
        <v/>
      </c>
      <c r="DG80" s="101" t="str">
        <f aca="false">IF(NOT(Tasks[[#This Row],[_IsLeaf]]=1),"",IF(Tasks[[#This Row],[_AlapShift]]=0,Tasks[[#This Row],[_LeafCalcFinish]],WORKDAY.INTL(Tasks[[#This Row],[_LeafCalcFinish]],Tasks[[#This Row],[_AlapShift]],WorkWeek,Holidays)))</f>
        <v/>
      </c>
      <c r="DH80" s="101" t="str">
        <f aca="false">IF(NOT(Tasks[[#This Row],[_IsLeaf]]=1),"",IF(Tasks[[#This Row],[_AlapShift]]=0,Tasks[[#This Row],[_LeafFcstStart]],WORKDAY.INTL(Tasks[[#This Row],[_LeafFcstStart]],Tasks[[#This Row],[_AlapShift]],WorkWeek,Holidays)))</f>
        <v/>
      </c>
      <c r="DI80" s="101" t="str">
        <f aca="false">IF(NOT(Tasks[[#This Row],[_IsLeaf]]=1),"",IF(Tasks[[#This Row],[_AlapShift]]=0,Tasks[[#This Row],[_LeafFcstFinish]],WORKDAY.INTL(Tasks[[#This Row],[_LeafFcstFinish]],Tasks[[#This Row],[_AlapShift]],WorkWeek,Holidays)))</f>
        <v/>
      </c>
      <c r="DJ80" s="101" t="str">
        <f aca="false">IF(Tasks[[#This Row],[Task Name]]="","",IF(Tasks[[#This Row],[_IsSummary]],MIN(INDEX(Tasks[_ShownCalcStart],Tasks[[#This Row],[_Row]]+1):INDEX(Tasks[_ShownCalcStart],Tasks[[#This Row],[_Row]]+Tasks[[#This Row],[_Descendants]])),Tasks[[#This Row],[_ShownCalcStart]]))</f>
        <v/>
      </c>
      <c r="DK80" s="101" t="str">
        <f aca="false">IF(Tasks[[#This Row],[Task Name]]="","",IF(Tasks[[#This Row],[_IsSummary]],MAX(INDEX(Tasks[_ShownCalcFinish],Tasks[[#This Row],[_Row]]+1):INDEX(Tasks[_ShownCalcFinish],Tasks[[#This Row],[_Row]]+Tasks[[#This Row],[_Descendants]])),Tasks[[#This Row],[_ShownCalcFinish]]))</f>
        <v/>
      </c>
      <c r="D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0" s="41" t="n">
        <f aca="false">IF(AND(Tasks[[#This Row],[_IsLeaf]]=1,Tasks[[#This Row],[_LeafTotalWork]]&gt;0),NETWORKDAYS.INTL(ProjectStart,Tasks[[#This Row],[_ShownFcstStart]],WorkWeek,Holidays),0)</f>
        <v>0</v>
      </c>
      <c r="DY80" s="41" t="n">
        <f aca="false">IF(AND(Tasks[[#This Row],[_IsLeaf]]=1,Tasks[[#This Row],[_LeafTotalWork]]&gt;0),MAX(Tasks[[#This Row],[_StartWorkday]],NETWORKDAYS.INTL(ProjectStart,Tasks[[#This Row],[_ShownFcstFinish]],WorkWeek,Holidays)),0)</f>
        <v>0</v>
      </c>
      <c r="DZ80" s="41" t="n">
        <f aca="false">IF(AND(Tasks[[#This Row],[_IsLeaf]]=1,Tasks[[#This Row],[_LeafTotalWork]]&gt;0),Tasks[[#This Row],[_LeafWork]]/(Tasks[[#This Row],[_FinishWorkday]]-Tasks[[#This Row],[_StartWorkday]]+1),0)</f>
        <v>0</v>
      </c>
      <c r="EA80" s="41" t="n">
        <f aca="false">Tasks[[#This Row],[_WorkPerWorkday]]*(Tasks[[#This Row],[_StartWorkday]]-1)</f>
        <v>-0</v>
      </c>
      <c r="EB80" s="41" t="n">
        <f aca="false">IF(Tasks[[#This Row],[_IsLeaf]]=1,MAX(N(Tasks[[#This Row],[Duration]]),0.1),0)</f>
        <v>0</v>
      </c>
      <c r="EC80" s="41" t="n">
        <f aca="false">Tasks[[#This Row],[_WeightDur]]*Tasks[[#This Row],[_LeafProgress]]</f>
        <v>0</v>
      </c>
      <c r="ED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0" s="41" t="str">
        <f aca="false">IF(AND(Tasks[[#This Row],[_IsLeaf]]=1,N(Tasks[[#This Row],[Duration]])=0,Tasks[[#This Row],[_LeafProgress]]&lt;1),Tasks[[#This Row],[_ShownFcstFinish]]+Tasks[[#This Row],[_Row]]/100000,"")</f>
        <v/>
      </c>
      <c r="EF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0" s="41" t="n">
        <f aca="false">IF(NOT(Tasks[[#This Row],[_IsLeaf]]=1),0,IF(Tasks[[#This Row],[Baseline Cost]]="",Tasks[[#This Row],[_LeafTotalCost]],N(Tasks[[#This Row],[Baseline Cost]])))</f>
        <v>0</v>
      </c>
      <c r="EH80" s="41" t="n">
        <f aca="false">Tasks[[#This Row],[_LeafBudget]]*Tasks[[#This Row],[_PlannedPct]]</f>
        <v>0</v>
      </c>
      <c r="EI80" s="41" t="n">
        <f aca="false">Tasks[[#This Row],[_LeafBudget]]*Tasks[[#This Row],[_LeafProgress]]</f>
        <v>0</v>
      </c>
      <c r="EJ80" s="41" t="n">
        <f aca="false">IF(NOT(Tasks[[#This Row],[_IsLeaf]]=1),0,IF(Tasks[[#This Row],[Actual Cost]]="",Tasks[[#This Row],[_LeafTotalCost]]*Tasks[[#This Row],[_LeafProgress]],N(Tasks[[#This Row],[Actual Cost]])))</f>
        <v>0</v>
      </c>
      <c r="EK80" s="41" t="str">
        <f aca="false">IF(Tasks[[#This Row],[Task Name]]="","",LEFT(Tasks[[#This Row],[WBS]],FIND(".",Tasks[[#This Row],[WBS]]&amp;".")-1))</f>
        <v/>
      </c>
      <c r="EL80" s="41" t="str">
        <f aca="false">IF(AND(Tasks[[#This Row],[Task Name]]&lt;&gt;"",Tasks[[#This Row],[_Level]]=1),Tasks[[#This Row],[_Row]],"")</f>
        <v/>
      </c>
      <c r="EM80" s="41" t="str">
        <f aca="false">IF(AND(Tasks[[#This Row],[_IsLeaf]]=1,N(Tasks[[#This Row],[Duration]])=0),Tasks[[#This Row],[Planned Finish]]+Tasks[[#This Row],[_Row]]/100000,"")</f>
        <v/>
      </c>
      <c r="EN80" s="41" t="str">
        <f aca="false">IF(AND(Tasks[[#This Row],[_IsLeaf]]=1,Tasks[[#This Row],[_LeafProgress]]&lt;1,OR(N(Tasks[[#This Row],[Finish Var]])&gt;0,Tasks[[#This Row],[Status]]="Late Start")),MAX(0,Tasks[[#This Row],[Finish Var]])+1-Tasks[[#This Row],[_Row]]/1000000,"")</f>
        <v/>
      </c>
      <c r="EO80" s="41" t="str">
        <f aca="false">IF(AND(Tasks[[#This Row],[_IsLeaf]]=1,N(Tasks[[#This Row],[Actual Start]])=0,Tasks[[#This Row],[_ShownFcstStart]]&gt;=StatusDate,Tasks[[#This Row],[_ShownFcstStart]]&lt;=LookaheadEnd),Tasks[[#This Row],[_ShownFcstStart]]+Tasks[[#This Row],[_Row]]/100000,"")</f>
        <v/>
      </c>
      <c r="EP80" s="41" t="str">
        <f aca="false">IF(AND(Tasks[[#This Row],[_IsLeaf]]=1,Tasks[[#This Row],[_LeafProgress]]&lt;1,Tasks[[#This Row],[_ShownFcstFinish]]&gt;=StatusDate,Tasks[[#This Row],[_ShownFcstFinish]]&lt;=LookaheadEnd),Tasks[[#This Row],[_ShownFcstFinish]]+Tasks[[#This Row],[_Row]]/100000,"")</f>
        <v/>
      </c>
      <c r="EQ80" s="41" t="str">
        <f aca="false">IF(Tasks[[#This Row],[_LeafCritical]],Tasks[[#This Row],[_ShownFcstStart]]+Tasks[[#This Row],[_Row]]/100000,"")</f>
        <v/>
      </c>
      <c r="ER80" s="41" t="n">
        <f aca="false">Tasks[[#This Row],[_LeafWork]]*Tasks[[#This Row],[_LeafProgress]]</f>
        <v>0</v>
      </c>
      <c r="ES80" s="101" t="str">
        <f aca="false">IF(AND(Tasks[[#This Row],[_IsLeaf]]=1,Tasks[[#This Row],[_LeafProgress]]&gt;=1),IF(N(Tasks[[#This Row],[Actual Finish]])&gt;0,Tasks[[#This Row],[Actual Finish]],Tasks[[#This Row],[_ShownFcstFinish]]),"")</f>
        <v/>
      </c>
      <c r="ET80" s="41" t="n">
        <f aca="false">IF(Tasks[[#This Row],[_IsLeaf]]=1,N(Tasks[[#This Row],[Story Points]]),0)</f>
        <v>0</v>
      </c>
      <c r="EU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29"/>
      <c r="O81" s="29"/>
      <c r="P81" s="29"/>
      <c r="Q81" s="29"/>
      <c r="R81" s="29"/>
      <c r="S81" s="29"/>
      <c r="T81" s="30"/>
      <c r="U81" s="75"/>
      <c r="V81" s="75"/>
      <c r="W81" s="25" t="str">
        <f aca="false">IF(Tasks[[#This Row],[Task Name]]="","",IF(N(Tasks[[#This Row],[Baseline Start]])&gt;0,Tasks[[#This Row],[Baseline Start]],Tasks[[#This Row],[_CalcStart]]))</f>
        <v/>
      </c>
      <c r="X81" s="25" t="str">
        <f aca="false">IF(Tasks[[#This Row],[Task Name]]="","",IF(N(Tasks[[#This Row],[Baseline Finish]])&gt;0,Tasks[[#This Row],[Baseline Finish]],Tasks[[#This Row],[_CalcFinish]]))</f>
        <v/>
      </c>
      <c r="Y81" s="75"/>
      <c r="Z81" s="75"/>
      <c r="AA81" s="25" t="str">
        <f aca="false">IF(Tasks[[#This Row],[Task Name]]="","",IF(Tasks[[#This Row],[_IsSummary]],MIN(INDEX(Tasks[_ShownFcstStart],Tasks[[#This Row],[_Row]]+1):INDEX(Tasks[_ShownFcstStart],Tasks[[#This Row],[_Row]]+Tasks[[#This Row],[_Descendants]])),Tasks[[#This Row],[_ShownFcstStart]]))</f>
        <v/>
      </c>
      <c r="AB81" s="25" t="str">
        <f aca="false">IF(Tasks[[#This Row],[Task Name]]="","",IF(Tasks[[#This Row],[_IsSummary]],MAX(INDEX(Tasks[_ShownFcstFinish],Tasks[[#This Row],[_Row]]+1):INDEX(Tasks[_ShownFcstFinish],Tasks[[#This Row],[_Row]]+Tasks[[#This Row],[_Descendants]])),Tasks[[#This Row],[_ShownFcstFinish]]))</f>
        <v/>
      </c>
      <c r="AC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1" s="25" t="str">
        <f aca="false">IF(Tasks[[#This Row],[Task Name]]="","",IF(Tasks[[#This Row],[_IsSummary]],MIN(INDEX(Tasks[_LeafLateStart],Tasks[[#This Row],[_Row]]+1):INDEX(Tasks[_LeafLateStart],Tasks[[#This Row],[_Row]]+Tasks[[#This Row],[_Descendants]])),Tasks[[#This Row],[_LeafLateStart]]))</f>
        <v/>
      </c>
      <c r="AF81" s="25" t="str">
        <f aca="false">IF(Tasks[[#This Row],[Task Name]]="","",IF(Tasks[[#This Row],[_IsSummary]],MAX(INDEX(Tasks[_LeafLateFinish],Tasks[[#This Row],[_Row]]+1):INDEX(Tasks[_LeafLateFinish],Tasks[[#This Row],[_Row]]+Tasks[[#This Row],[_Descendants]])),Tasks[[#This Row],[_LeafLateFinish]]))</f>
        <v/>
      </c>
      <c r="AG81" s="28" t="str">
        <f aca="false">IF(Tasks[[#This Row],[Task Name]]="","",IF(Tasks[[#This Row],[_IsSummary]],MIN(INDEX(Tasks[_LeafTotalSlack],Tasks[[#This Row],[_Row]]+1):INDEX(Tasks[_LeafTotalSlack],Tasks[[#This Row],[_Row]]+Tasks[[#This Row],[_Descendants]])),Tasks[[#This Row],[_LeafTotalSlack]]))</f>
        <v/>
      </c>
      <c r="AH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1" s="28" t="str">
        <f aca="false">IF(Tasks[[#This Row],[Task Name]]="","",IF(IF(Tasks[[#This Row],[_IsSummary]],COUNTIF(INDEX(Tasks[_LeafCritical],Tasks[[#This Row],[_Row]]+1):INDEX(Tasks[_LeafCritical],Tasks[[#This Row],[_Row]]+Tasks[[#This Row],[_Descendants]]),TRUE())&gt;0,Tasks[[#This Row],[_LeafCritical]]),"Yes",""))</f>
        <v/>
      </c>
      <c r="AJ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1" s="89"/>
      <c r="AM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1" s="28" t="str">
        <f aca="false">IF(Tasks[[#This Row],[Task Name]]="","",IF(Tasks[[#This Row],[Progress]]&gt;=1,"Complete",IF(OR(N(Tasks[[#This Row],[Actual Start]])&gt;0,Tasks[[#This Row],[Progress]]&gt;0),IF(Tasks[[#This Row],[Finish Var]]&gt;0,"Behind","In Progress"),IF(Tasks[[#This Row],[Planned Start]]&lt;StatusDate,"Late Start","Not Started"))))</f>
        <v/>
      </c>
      <c r="AO81" s="30"/>
      <c r="AP81" s="89"/>
      <c r="AQ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1" s="96" t="str">
        <f aca="false">IF(Tasks[[#This Row],[Task Name]]="","",IF(Tasks[[#This Row],[_IsSummary]],SUM(INDEX(Tasks[_LeafTotalWork],Tasks[[#This Row],[_Row]]+1):INDEX(Tasks[_LeafTotalWork],Tasks[[#This Row],[_Row]]+Tasks[[#This Row],[_Descendants]])),Tasks[[#This Row],[_LeafTotalWork]]))</f>
        <v/>
      </c>
      <c r="AT81" s="97" t="str">
        <f aca="false">IF(Tasks[[#This Row],[Task Name]]="","",IF(Tasks[[#This Row],[_IsSummary]],SUM(INDEX(Tasks[_LeafTotalCost],Tasks[[#This Row],[_Row]]+1):INDEX(Tasks[_LeafTotalCost],Tasks[[#This Row],[_Row]]+Tasks[[#This Row],[_Descendants]])),Tasks[[#This Row],[_LeafTotalCost]]))</f>
        <v/>
      </c>
      <c r="AU81" s="98"/>
      <c r="AV81" s="29"/>
      <c r="AW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1" s="83"/>
      <c r="AY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1" s="30"/>
      <c r="BA81" s="25" t="str">
        <f aca="false">IF(Tasks[[#This Row],[Task Name]]="","",Tasks[[#This Row],[Forecast Start]])</f>
        <v/>
      </c>
      <c r="BB81" s="25" t="str">
        <f aca="false">IF(Tasks[[#This Row],[Task Name]]="","",Tasks[[#This Row],[Forecast Finish]])</f>
        <v/>
      </c>
      <c r="BC81" s="28" t="str">
        <f aca="false">IF(Tasks[[#This Row],[Task Name]]="","",IF(Tasks[[#This Row],[_IsSummary]],NETWORKDAYS.INTL(Tasks[[#This Row],[Forecast Start]],Tasks[[#This Row],[Forecast Finish]],WorkWeek,Holidays),N(Tasks[[#This Row],[Duration]])))</f>
        <v/>
      </c>
      <c r="BD81" s="96" t="str">
        <f aca="false">IF(Tasks[[#This Row],[Task Name]]="","",Tasks[[#This Row],[Work]])</f>
        <v/>
      </c>
      <c r="BE81" s="97" t="str">
        <f aca="false">IF(Tasks[[#This Row],[Task Name]]="","",Tasks[[#This Row],[Cost]])</f>
        <v/>
      </c>
      <c r="BF81" s="75"/>
      <c r="BG81" s="75"/>
      <c r="BH81" s="29"/>
      <c r="BI81" s="99"/>
      <c r="BJ81" s="98"/>
      <c r="BK81" s="28" t="str">
        <f aca="false">IF(OR(Tasks[[#This Row],[Task Name]]="",Tasks[[#This Row],[Baseline Duration]]=""),"",Tasks[[#This Row],[BL Source Duration]]-N(Tasks[[#This Row],[Baseline Duration]]))</f>
        <v/>
      </c>
      <c r="BL81" s="96" t="str">
        <f aca="false">IF(OR(Tasks[[#This Row],[Task Name]]="",Tasks[[#This Row],[Baseline Work]]=""),"",Tasks[[#This Row],[Work]]-N(Tasks[[#This Row],[Baseline Work]]))</f>
        <v/>
      </c>
      <c r="BM81" s="97" t="str">
        <f aca="false">IF(OR(Tasks[[#This Row],[Task Name]]="",Tasks[[#This Row],[Baseline Cost]]=""),"",Tasks[[#This Row],[Cost]]-N(Tasks[[#This Row],[Baseline Cost]]))</f>
        <v/>
      </c>
      <c r="BN81" s="97" t="str">
        <f aca="false">IF(Tasks[[#This Row],[Task Name]]="","",IF(Tasks[[#This Row],[_IsSummary]],SUM(INDEX(Tasks[_LeafBudget],Tasks[[#This Row],[_Row]]+1):INDEX(Tasks[_LeafBudget],Tasks[[#This Row],[_Row]]+Tasks[[#This Row],[_Descendants]])),Tasks[[#This Row],[_LeafBudget]]))</f>
        <v/>
      </c>
      <c r="BO81" s="97" t="str">
        <f aca="false">IF(Tasks[[#This Row],[Task Name]]="","",IF(Tasks[[#This Row],[_IsSummary]],SUM(INDEX(Tasks[_LeafPV],Tasks[[#This Row],[_Row]]+1):INDEX(Tasks[_LeafPV],Tasks[[#This Row],[_Row]]+Tasks[[#This Row],[_Descendants]])),Tasks[[#This Row],[_LeafPV]]))</f>
        <v/>
      </c>
      <c r="BP81" s="97" t="str">
        <f aca="false">IF(Tasks[[#This Row],[Task Name]]="","",IF(Tasks[[#This Row],[_IsSummary]],SUM(INDEX(Tasks[_LeafEV],Tasks[[#This Row],[_Row]]+1):INDEX(Tasks[_LeafEV],Tasks[[#This Row],[_Row]]+Tasks[[#This Row],[_Descendants]])),Tasks[[#This Row],[_LeafEV]]))</f>
        <v/>
      </c>
      <c r="BQ81" s="97" t="str">
        <f aca="false">IF(Tasks[[#This Row],[Task Name]]="","",IF(Tasks[[#This Row],[_IsSummary]],SUM(INDEX(Tasks[_LeafAC],Tasks[[#This Row],[_Row]]+1):INDEX(Tasks[_LeafAC],Tasks[[#This Row],[_Row]]+Tasks[[#This Row],[_Descendants]])),Tasks[[#This Row],[_LeafAC]]))</f>
        <v/>
      </c>
      <c r="BR81" s="41" t="str">
        <f aca="false">IF(Tasks[[#This Row],[Task Name]]="","",MAX(1,N(Tasks[[#This Row],[Level]])))</f>
        <v/>
      </c>
      <c r="BS81" s="41" t="n">
        <f aca="false">ROW()-ROW(Tasks[[#Headers],[ID]])</f>
        <v>76</v>
      </c>
      <c r="BT81" s="41" t="n">
        <f aca="false">IF(OR(Tasks[[#This Row],[Task Name]]="",Tasks[[#This Row],[_Level]]&lt;=1),0,IFERROR(LOOKUP(2,1/(Tasks[[#Headers],[_Level]]:Tasks[[#This Row],[_Level]]=Tasks[[#This Row],[_Level]]-1),ROW(Tasks[[#Headers],[_Level]]:Tasks[[#This Row],[_Level]])),0))</f>
        <v>0</v>
      </c>
      <c r="BU81" s="41" t="n">
        <f aca="false">IFERROR(N(INDEX(Tasks[_Level],Tasks[[#This Row],[_Row]]+1)),0)</f>
        <v>0</v>
      </c>
      <c r="BV81" s="100" t="b">
        <f aca="false">AND(Tasks[[#This Row],[Task Name]]&lt;&gt;"",Tasks[[#This Row],[_NextLevel]]&gt;Tasks[[#This Row],[_Level]])</f>
        <v>0</v>
      </c>
      <c r="BW81" s="41" t="n">
        <f aca="false">IF(Tasks[[#This Row],[_IsSummary]],COUNTIF(Tasks[WBS],Tasks[[#This Row],[WBS]]&amp;".*"),0)</f>
        <v>0</v>
      </c>
      <c r="BX81" s="41" t="n">
        <f aca="false">IF(AND(Tasks[[#This Row],[Task Name]]&lt;&gt;"",NOT(Tasks[[#This Row],[_IsSummary]])),1,0)</f>
        <v>0</v>
      </c>
      <c r="BY81" s="41" t="n">
        <f aca="false">IF(N(Tasks[[#This Row],[Pred1 UID]])=0,0,IFERROR(MATCH(Tasks[[#This Row],[Pred1 UID]],Tasks[UID],0),-1))</f>
        <v>0</v>
      </c>
      <c r="BZ81" s="41" t="n">
        <f aca="false">IF(N(Tasks[[#This Row],[Pred2 UID]])=0,0,IFERROR(MATCH(Tasks[[#This Row],[Pred2 UID]],Tasks[UID],0),-1))</f>
        <v>0</v>
      </c>
      <c r="CA81" s="41" t="n">
        <f aca="false">IF(N(Tasks[[#This Row],[Pred3 UID]])=0,0,IFERROR(MATCH(Tasks[[#This Row],[Pred3 UID]],Tasks[UID],0),-1))</f>
        <v>0</v>
      </c>
      <c r="CB81" s="41" t="n">
        <f aca="false">IF(N(Tasks[[#This Row],[Pred4 UID]])=0,0,IFERROR(MATCH(Tasks[[#This Row],[Pred4 UID]],Tasks[UID],0),-1))</f>
        <v>0</v>
      </c>
      <c r="CC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1" s="101" t="n">
        <f aca="false">IF(OR(Tasks[[#This Row],[_ConstraintCode]]=2,Tasks[[#This Row],[_ConstraintCode]]=3,Tasks[[#This Row],[_ConstraintCode]]=4,Tasks[[#This Row],[_ConstraintCode]]=6),Tasks[[#This Row],[_ConstraintStart]],0)</f>
        <v>0</v>
      </c>
      <c r="CF81" s="101" t="n">
        <f aca="false">IF(OR(Tasks[[#This Row],[_ConstraintCode]]=2,Tasks[[#This Row],[_ConstraintCode]]=3,Tasks[[#This Row],[_ConstraintCode]]=5,Tasks[[#This Row],[_ConstraintCode]]=7),Tasks[[#This Row],[_ConstraintStart]],2958465)</f>
        <v>2958465</v>
      </c>
      <c r="CG8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1" s="101" t="str">
        <f aca="false">IF(NOT(Tasks[[#This Row],[_IsLeaf]]=1),"",IF(N(Tasks[[#This Row],[Duration]])&lt;=0,Tasks[[#This Row],[_LeafCalcStart]],WORKDAY.INTL(Tasks[[#This Row],[_LeafCalcStart]],Tasks[[#This Row],[Duration]]-1,WorkWeek,Holidays)))</f>
        <v/>
      </c>
      <c r="CI8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1" s="41" t="n">
        <f aca="false">IF(NOT(Tasks[[#This Row],[_IsLeaf]]=1),0,IF(N(Tasks[[#This Row],[Actual Finish]])&gt;0,1,MIN(1,N(Tasks[[#This Row],[% Complete]]))))</f>
        <v>0</v>
      </c>
      <c r="CL81" s="41" t="n">
        <f aca="false">IF(OR(NOT(Tasks[[#This Row],[_IsLeaf]]=1),Tasks[[#This Row],[Resource]]=""),0,N(Tasks[[#This Row],[Duration]])*HoursPerDay*IF(Tasks[[#This Row],[Units]]="",DefaultUnits,Tasks[[#This Row],[Units]]))</f>
        <v>0</v>
      </c>
      <c r="CM81" s="41" t="n">
        <f aca="false">IF(Tasks[[#This Row],[_LeafWork]]=0,0,Tasks[[#This Row],[_LeafWork]]*IFERROR(INDEX(res_Rate,MATCH(Tasks[[#This Row],[Resource]],res_Name,0)),0))</f>
        <v>0</v>
      </c>
      <c r="CN81" s="41" t="n">
        <f aca="false">Tasks[[#This Row],[_LeafWork]]+IF(Tasks[[#This Row],[_IsLeaf]]=1,SUMIFS(asg_Work,asg_TaskUID,Tasks[[#This Row],[UID]],asg_Valid,1),0)</f>
        <v>0</v>
      </c>
      <c r="CO81" s="41" t="n">
        <f aca="false">Tasks[[#This Row],[_LeafCost]]+IF(Tasks[[#This Row],[_IsLeaf]]=1,SUMIFS(asg_Cost,asg_TaskUID,Tasks[[#This Row],[UID]],asg_Valid,1),0)</f>
        <v>0</v>
      </c>
      <c r="CP81" s="41" t="n">
        <f aca="false">IF(Tasks[[#This Row],[_LeafTotalCost]]=0,Tasks[[#This Row],[_LeafAC]],Tasks[[#This Row],[_LeafAC]]*Tasks[[#This Row],[_LeafCost]]/Tasks[[#This Row],[_LeafTotalCost]])</f>
        <v>0</v>
      </c>
      <c r="CQ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1" s="41" t="n">
        <f aca="false">IF(NOT(Tasks[[#This Row],[_IsLeaf]]=1),0,MAX(_xlfn.MAXIFS(Tasks[_Row],Tasks[Pred1 UID],Tasks[[#This Row],[UID]]),_xlfn.MAXIFS(Tasks[_Row],Tasks[Pred2 UID],Tasks[[#This Row],[UID]]),_xlfn.MAXIFS(Tasks[_Row],Tasks[Pred3 UID],Tasks[[#This Row],[UID]]),_xlfn.MAXIFS(Tasks[_Row],Tasks[Pred4 UID],Tasks[[#This Row],[UID]])))</f>
        <v>0</v>
      </c>
      <c r="CZ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1" s="101" t="str">
        <f aca="false">IF(NOT(Tasks[[#This Row],[_IsLeaf]]=1),"",IF(N(Tasks[[#This Row],[Duration]])&lt;=0,Tasks[[#This Row],[_LeafLateFinish]],WORKDAY.INTL(Tasks[[#This Row],[_LeafLateFinish]],-(Tasks[[#This Row],[Duration]]-1),WorkWeek,Holidays)))</f>
        <v/>
      </c>
      <c r="DC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1" s="100" t="b">
        <f aca="false">AND(Tasks[[#This Row],[_IsLeaf]]=1,Tasks[[#This Row],[_LeafProgress]]&lt;1,N(Tasks[[#This Row],[_LeafTotalSlack]])&lt;=CriticalSlackDays)</f>
        <v>0</v>
      </c>
      <c r="DE81" s="41" t="n">
        <f aca="false">IF(AND(Tasks[[#This Row],[_IsLeaf]]=1,Tasks[[#This Row],[_ConstraintCode]]=1,Tasks[[#This Row],[Mode]]&lt;&gt;"Manual",N(Tasks[[#This Row],[Actual Start]])=0),MAX(0,N(Tasks[[#This Row],[Free Slack]])),0)</f>
        <v>0</v>
      </c>
      <c r="DF81" s="101" t="str">
        <f aca="false">IF(NOT(Tasks[[#This Row],[_IsLeaf]]=1),"",IF(Tasks[[#This Row],[_AlapShift]]=0,Tasks[[#This Row],[_LeafCalcStart]],WORKDAY.INTL(Tasks[[#This Row],[_LeafCalcStart]],Tasks[[#This Row],[_AlapShift]],WorkWeek,Holidays)))</f>
        <v/>
      </c>
      <c r="DG81" s="101" t="str">
        <f aca="false">IF(NOT(Tasks[[#This Row],[_IsLeaf]]=1),"",IF(Tasks[[#This Row],[_AlapShift]]=0,Tasks[[#This Row],[_LeafCalcFinish]],WORKDAY.INTL(Tasks[[#This Row],[_LeafCalcFinish]],Tasks[[#This Row],[_AlapShift]],WorkWeek,Holidays)))</f>
        <v/>
      </c>
      <c r="DH81" s="101" t="str">
        <f aca="false">IF(NOT(Tasks[[#This Row],[_IsLeaf]]=1),"",IF(Tasks[[#This Row],[_AlapShift]]=0,Tasks[[#This Row],[_LeafFcstStart]],WORKDAY.INTL(Tasks[[#This Row],[_LeafFcstStart]],Tasks[[#This Row],[_AlapShift]],WorkWeek,Holidays)))</f>
        <v/>
      </c>
      <c r="DI81" s="101" t="str">
        <f aca="false">IF(NOT(Tasks[[#This Row],[_IsLeaf]]=1),"",IF(Tasks[[#This Row],[_AlapShift]]=0,Tasks[[#This Row],[_LeafFcstFinish]],WORKDAY.INTL(Tasks[[#This Row],[_LeafFcstFinish]],Tasks[[#This Row],[_AlapShift]],WorkWeek,Holidays)))</f>
        <v/>
      </c>
      <c r="DJ81" s="101" t="str">
        <f aca="false">IF(Tasks[[#This Row],[Task Name]]="","",IF(Tasks[[#This Row],[_IsSummary]],MIN(INDEX(Tasks[_ShownCalcStart],Tasks[[#This Row],[_Row]]+1):INDEX(Tasks[_ShownCalcStart],Tasks[[#This Row],[_Row]]+Tasks[[#This Row],[_Descendants]])),Tasks[[#This Row],[_ShownCalcStart]]))</f>
        <v/>
      </c>
      <c r="DK81" s="101" t="str">
        <f aca="false">IF(Tasks[[#This Row],[Task Name]]="","",IF(Tasks[[#This Row],[_IsSummary]],MAX(INDEX(Tasks[_ShownCalcFinish],Tasks[[#This Row],[_Row]]+1):INDEX(Tasks[_ShownCalcFinish],Tasks[[#This Row],[_Row]]+Tasks[[#This Row],[_Descendants]])),Tasks[[#This Row],[_ShownCalcFinish]]))</f>
        <v/>
      </c>
      <c r="D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1" s="41" t="n">
        <f aca="false">IF(AND(Tasks[[#This Row],[_IsLeaf]]=1,Tasks[[#This Row],[_LeafTotalWork]]&gt;0),NETWORKDAYS.INTL(ProjectStart,Tasks[[#This Row],[_ShownFcstStart]],WorkWeek,Holidays),0)</f>
        <v>0</v>
      </c>
      <c r="DY81" s="41" t="n">
        <f aca="false">IF(AND(Tasks[[#This Row],[_IsLeaf]]=1,Tasks[[#This Row],[_LeafTotalWork]]&gt;0),MAX(Tasks[[#This Row],[_StartWorkday]],NETWORKDAYS.INTL(ProjectStart,Tasks[[#This Row],[_ShownFcstFinish]],WorkWeek,Holidays)),0)</f>
        <v>0</v>
      </c>
      <c r="DZ81" s="41" t="n">
        <f aca="false">IF(AND(Tasks[[#This Row],[_IsLeaf]]=1,Tasks[[#This Row],[_LeafTotalWork]]&gt;0),Tasks[[#This Row],[_LeafWork]]/(Tasks[[#This Row],[_FinishWorkday]]-Tasks[[#This Row],[_StartWorkday]]+1),0)</f>
        <v>0</v>
      </c>
      <c r="EA81" s="41" t="n">
        <f aca="false">Tasks[[#This Row],[_WorkPerWorkday]]*(Tasks[[#This Row],[_StartWorkday]]-1)</f>
        <v>-0</v>
      </c>
      <c r="EB81" s="41" t="n">
        <f aca="false">IF(Tasks[[#This Row],[_IsLeaf]]=1,MAX(N(Tasks[[#This Row],[Duration]]),0.1),0)</f>
        <v>0</v>
      </c>
      <c r="EC81" s="41" t="n">
        <f aca="false">Tasks[[#This Row],[_WeightDur]]*Tasks[[#This Row],[_LeafProgress]]</f>
        <v>0</v>
      </c>
      <c r="ED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1" s="41" t="str">
        <f aca="false">IF(AND(Tasks[[#This Row],[_IsLeaf]]=1,N(Tasks[[#This Row],[Duration]])=0,Tasks[[#This Row],[_LeafProgress]]&lt;1),Tasks[[#This Row],[_ShownFcstFinish]]+Tasks[[#This Row],[_Row]]/100000,"")</f>
        <v/>
      </c>
      <c r="EF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1" s="41" t="n">
        <f aca="false">IF(NOT(Tasks[[#This Row],[_IsLeaf]]=1),0,IF(Tasks[[#This Row],[Baseline Cost]]="",Tasks[[#This Row],[_LeafTotalCost]],N(Tasks[[#This Row],[Baseline Cost]])))</f>
        <v>0</v>
      </c>
      <c r="EH81" s="41" t="n">
        <f aca="false">Tasks[[#This Row],[_LeafBudget]]*Tasks[[#This Row],[_PlannedPct]]</f>
        <v>0</v>
      </c>
      <c r="EI81" s="41" t="n">
        <f aca="false">Tasks[[#This Row],[_LeafBudget]]*Tasks[[#This Row],[_LeafProgress]]</f>
        <v>0</v>
      </c>
      <c r="EJ81" s="41" t="n">
        <f aca="false">IF(NOT(Tasks[[#This Row],[_IsLeaf]]=1),0,IF(Tasks[[#This Row],[Actual Cost]]="",Tasks[[#This Row],[_LeafTotalCost]]*Tasks[[#This Row],[_LeafProgress]],N(Tasks[[#This Row],[Actual Cost]])))</f>
        <v>0</v>
      </c>
      <c r="EK81" s="41" t="str">
        <f aca="false">IF(Tasks[[#This Row],[Task Name]]="","",LEFT(Tasks[[#This Row],[WBS]],FIND(".",Tasks[[#This Row],[WBS]]&amp;".")-1))</f>
        <v/>
      </c>
      <c r="EL81" s="41" t="str">
        <f aca="false">IF(AND(Tasks[[#This Row],[Task Name]]&lt;&gt;"",Tasks[[#This Row],[_Level]]=1),Tasks[[#This Row],[_Row]],"")</f>
        <v/>
      </c>
      <c r="EM81" s="41" t="str">
        <f aca="false">IF(AND(Tasks[[#This Row],[_IsLeaf]]=1,N(Tasks[[#This Row],[Duration]])=0),Tasks[[#This Row],[Planned Finish]]+Tasks[[#This Row],[_Row]]/100000,"")</f>
        <v/>
      </c>
      <c r="EN81" s="41" t="str">
        <f aca="false">IF(AND(Tasks[[#This Row],[_IsLeaf]]=1,Tasks[[#This Row],[_LeafProgress]]&lt;1,OR(N(Tasks[[#This Row],[Finish Var]])&gt;0,Tasks[[#This Row],[Status]]="Late Start")),MAX(0,Tasks[[#This Row],[Finish Var]])+1-Tasks[[#This Row],[_Row]]/1000000,"")</f>
        <v/>
      </c>
      <c r="EO81" s="41" t="str">
        <f aca="false">IF(AND(Tasks[[#This Row],[_IsLeaf]]=1,N(Tasks[[#This Row],[Actual Start]])=0,Tasks[[#This Row],[_ShownFcstStart]]&gt;=StatusDate,Tasks[[#This Row],[_ShownFcstStart]]&lt;=LookaheadEnd),Tasks[[#This Row],[_ShownFcstStart]]+Tasks[[#This Row],[_Row]]/100000,"")</f>
        <v/>
      </c>
      <c r="EP81" s="41" t="str">
        <f aca="false">IF(AND(Tasks[[#This Row],[_IsLeaf]]=1,Tasks[[#This Row],[_LeafProgress]]&lt;1,Tasks[[#This Row],[_ShownFcstFinish]]&gt;=StatusDate,Tasks[[#This Row],[_ShownFcstFinish]]&lt;=LookaheadEnd),Tasks[[#This Row],[_ShownFcstFinish]]+Tasks[[#This Row],[_Row]]/100000,"")</f>
        <v/>
      </c>
      <c r="EQ81" s="41" t="str">
        <f aca="false">IF(Tasks[[#This Row],[_LeafCritical]],Tasks[[#This Row],[_ShownFcstStart]]+Tasks[[#This Row],[_Row]]/100000,"")</f>
        <v/>
      </c>
      <c r="ER81" s="41" t="n">
        <f aca="false">Tasks[[#This Row],[_LeafWork]]*Tasks[[#This Row],[_LeafProgress]]</f>
        <v>0</v>
      </c>
      <c r="ES81" s="101" t="str">
        <f aca="false">IF(AND(Tasks[[#This Row],[_IsLeaf]]=1,Tasks[[#This Row],[_LeafProgress]]&gt;=1),IF(N(Tasks[[#This Row],[Actual Finish]])&gt;0,Tasks[[#This Row],[Actual Finish]],Tasks[[#This Row],[_ShownFcstFinish]]),"")</f>
        <v/>
      </c>
      <c r="ET81" s="41" t="n">
        <f aca="false">IF(Tasks[[#This Row],[_IsLeaf]]=1,N(Tasks[[#This Row],[Story Points]]),0)</f>
        <v>0</v>
      </c>
      <c r="EU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29"/>
      <c r="O82" s="29"/>
      <c r="P82" s="29"/>
      <c r="Q82" s="29"/>
      <c r="R82" s="29"/>
      <c r="S82" s="29"/>
      <c r="T82" s="30"/>
      <c r="U82" s="75"/>
      <c r="V82" s="75"/>
      <c r="W82" s="25" t="str">
        <f aca="false">IF(Tasks[[#This Row],[Task Name]]="","",IF(N(Tasks[[#This Row],[Baseline Start]])&gt;0,Tasks[[#This Row],[Baseline Start]],Tasks[[#This Row],[_CalcStart]]))</f>
        <v/>
      </c>
      <c r="X82" s="25" t="str">
        <f aca="false">IF(Tasks[[#This Row],[Task Name]]="","",IF(N(Tasks[[#This Row],[Baseline Finish]])&gt;0,Tasks[[#This Row],[Baseline Finish]],Tasks[[#This Row],[_CalcFinish]]))</f>
        <v/>
      </c>
      <c r="Y82" s="75"/>
      <c r="Z82" s="75"/>
      <c r="AA82" s="25" t="str">
        <f aca="false">IF(Tasks[[#This Row],[Task Name]]="","",IF(Tasks[[#This Row],[_IsSummary]],MIN(INDEX(Tasks[_ShownFcstStart],Tasks[[#This Row],[_Row]]+1):INDEX(Tasks[_ShownFcstStart],Tasks[[#This Row],[_Row]]+Tasks[[#This Row],[_Descendants]])),Tasks[[#This Row],[_ShownFcstStart]]))</f>
        <v/>
      </c>
      <c r="AB82" s="25" t="str">
        <f aca="false">IF(Tasks[[#This Row],[Task Name]]="","",IF(Tasks[[#This Row],[_IsSummary]],MAX(INDEX(Tasks[_ShownFcstFinish],Tasks[[#This Row],[_Row]]+1):INDEX(Tasks[_ShownFcstFinish],Tasks[[#This Row],[_Row]]+Tasks[[#This Row],[_Descendants]])),Tasks[[#This Row],[_ShownFcstFinish]]))</f>
        <v/>
      </c>
      <c r="AC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2" s="25" t="str">
        <f aca="false">IF(Tasks[[#This Row],[Task Name]]="","",IF(Tasks[[#This Row],[_IsSummary]],MIN(INDEX(Tasks[_LeafLateStart],Tasks[[#This Row],[_Row]]+1):INDEX(Tasks[_LeafLateStart],Tasks[[#This Row],[_Row]]+Tasks[[#This Row],[_Descendants]])),Tasks[[#This Row],[_LeafLateStart]]))</f>
        <v/>
      </c>
      <c r="AF82" s="25" t="str">
        <f aca="false">IF(Tasks[[#This Row],[Task Name]]="","",IF(Tasks[[#This Row],[_IsSummary]],MAX(INDEX(Tasks[_LeafLateFinish],Tasks[[#This Row],[_Row]]+1):INDEX(Tasks[_LeafLateFinish],Tasks[[#This Row],[_Row]]+Tasks[[#This Row],[_Descendants]])),Tasks[[#This Row],[_LeafLateFinish]]))</f>
        <v/>
      </c>
      <c r="AG82" s="28" t="str">
        <f aca="false">IF(Tasks[[#This Row],[Task Name]]="","",IF(Tasks[[#This Row],[_IsSummary]],MIN(INDEX(Tasks[_LeafTotalSlack],Tasks[[#This Row],[_Row]]+1):INDEX(Tasks[_LeafTotalSlack],Tasks[[#This Row],[_Row]]+Tasks[[#This Row],[_Descendants]])),Tasks[[#This Row],[_LeafTotalSlack]]))</f>
        <v/>
      </c>
      <c r="AH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2" s="28" t="str">
        <f aca="false">IF(Tasks[[#This Row],[Task Name]]="","",IF(IF(Tasks[[#This Row],[_IsSummary]],COUNTIF(INDEX(Tasks[_LeafCritical],Tasks[[#This Row],[_Row]]+1):INDEX(Tasks[_LeafCritical],Tasks[[#This Row],[_Row]]+Tasks[[#This Row],[_Descendants]]),TRUE())&gt;0,Tasks[[#This Row],[_LeafCritical]]),"Yes",""))</f>
        <v/>
      </c>
      <c r="AJ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2" s="89"/>
      <c r="AM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2" s="28" t="str">
        <f aca="false">IF(Tasks[[#This Row],[Task Name]]="","",IF(Tasks[[#This Row],[Progress]]&gt;=1,"Complete",IF(OR(N(Tasks[[#This Row],[Actual Start]])&gt;0,Tasks[[#This Row],[Progress]]&gt;0),IF(Tasks[[#This Row],[Finish Var]]&gt;0,"Behind","In Progress"),IF(Tasks[[#This Row],[Planned Start]]&lt;StatusDate,"Late Start","Not Started"))))</f>
        <v/>
      </c>
      <c r="AO82" s="30"/>
      <c r="AP82" s="89"/>
      <c r="AQ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2" s="96" t="str">
        <f aca="false">IF(Tasks[[#This Row],[Task Name]]="","",IF(Tasks[[#This Row],[_IsSummary]],SUM(INDEX(Tasks[_LeafTotalWork],Tasks[[#This Row],[_Row]]+1):INDEX(Tasks[_LeafTotalWork],Tasks[[#This Row],[_Row]]+Tasks[[#This Row],[_Descendants]])),Tasks[[#This Row],[_LeafTotalWork]]))</f>
        <v/>
      </c>
      <c r="AT82" s="97" t="str">
        <f aca="false">IF(Tasks[[#This Row],[Task Name]]="","",IF(Tasks[[#This Row],[_IsSummary]],SUM(INDEX(Tasks[_LeafTotalCost],Tasks[[#This Row],[_Row]]+1):INDEX(Tasks[_LeafTotalCost],Tasks[[#This Row],[_Row]]+Tasks[[#This Row],[_Descendants]])),Tasks[[#This Row],[_LeafTotalCost]]))</f>
        <v/>
      </c>
      <c r="AU82" s="98"/>
      <c r="AV82" s="29"/>
      <c r="AW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2" s="83"/>
      <c r="AY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2" s="30"/>
      <c r="BA82" s="25" t="str">
        <f aca="false">IF(Tasks[[#This Row],[Task Name]]="","",Tasks[[#This Row],[Forecast Start]])</f>
        <v/>
      </c>
      <c r="BB82" s="25" t="str">
        <f aca="false">IF(Tasks[[#This Row],[Task Name]]="","",Tasks[[#This Row],[Forecast Finish]])</f>
        <v/>
      </c>
      <c r="BC82" s="28" t="str">
        <f aca="false">IF(Tasks[[#This Row],[Task Name]]="","",IF(Tasks[[#This Row],[_IsSummary]],NETWORKDAYS.INTL(Tasks[[#This Row],[Forecast Start]],Tasks[[#This Row],[Forecast Finish]],WorkWeek,Holidays),N(Tasks[[#This Row],[Duration]])))</f>
        <v/>
      </c>
      <c r="BD82" s="96" t="str">
        <f aca="false">IF(Tasks[[#This Row],[Task Name]]="","",Tasks[[#This Row],[Work]])</f>
        <v/>
      </c>
      <c r="BE82" s="97" t="str">
        <f aca="false">IF(Tasks[[#This Row],[Task Name]]="","",Tasks[[#This Row],[Cost]])</f>
        <v/>
      </c>
      <c r="BF82" s="75"/>
      <c r="BG82" s="75"/>
      <c r="BH82" s="29"/>
      <c r="BI82" s="99"/>
      <c r="BJ82" s="98"/>
      <c r="BK82" s="28" t="str">
        <f aca="false">IF(OR(Tasks[[#This Row],[Task Name]]="",Tasks[[#This Row],[Baseline Duration]]=""),"",Tasks[[#This Row],[BL Source Duration]]-N(Tasks[[#This Row],[Baseline Duration]]))</f>
        <v/>
      </c>
      <c r="BL82" s="96" t="str">
        <f aca="false">IF(OR(Tasks[[#This Row],[Task Name]]="",Tasks[[#This Row],[Baseline Work]]=""),"",Tasks[[#This Row],[Work]]-N(Tasks[[#This Row],[Baseline Work]]))</f>
        <v/>
      </c>
      <c r="BM82" s="97" t="str">
        <f aca="false">IF(OR(Tasks[[#This Row],[Task Name]]="",Tasks[[#This Row],[Baseline Cost]]=""),"",Tasks[[#This Row],[Cost]]-N(Tasks[[#This Row],[Baseline Cost]]))</f>
        <v/>
      </c>
      <c r="BN82" s="97" t="str">
        <f aca="false">IF(Tasks[[#This Row],[Task Name]]="","",IF(Tasks[[#This Row],[_IsSummary]],SUM(INDEX(Tasks[_LeafBudget],Tasks[[#This Row],[_Row]]+1):INDEX(Tasks[_LeafBudget],Tasks[[#This Row],[_Row]]+Tasks[[#This Row],[_Descendants]])),Tasks[[#This Row],[_LeafBudget]]))</f>
        <v/>
      </c>
      <c r="BO82" s="97" t="str">
        <f aca="false">IF(Tasks[[#This Row],[Task Name]]="","",IF(Tasks[[#This Row],[_IsSummary]],SUM(INDEX(Tasks[_LeafPV],Tasks[[#This Row],[_Row]]+1):INDEX(Tasks[_LeafPV],Tasks[[#This Row],[_Row]]+Tasks[[#This Row],[_Descendants]])),Tasks[[#This Row],[_LeafPV]]))</f>
        <v/>
      </c>
      <c r="BP82" s="97" t="str">
        <f aca="false">IF(Tasks[[#This Row],[Task Name]]="","",IF(Tasks[[#This Row],[_IsSummary]],SUM(INDEX(Tasks[_LeafEV],Tasks[[#This Row],[_Row]]+1):INDEX(Tasks[_LeafEV],Tasks[[#This Row],[_Row]]+Tasks[[#This Row],[_Descendants]])),Tasks[[#This Row],[_LeafEV]]))</f>
        <v/>
      </c>
      <c r="BQ82" s="97" t="str">
        <f aca="false">IF(Tasks[[#This Row],[Task Name]]="","",IF(Tasks[[#This Row],[_IsSummary]],SUM(INDEX(Tasks[_LeafAC],Tasks[[#This Row],[_Row]]+1):INDEX(Tasks[_LeafAC],Tasks[[#This Row],[_Row]]+Tasks[[#This Row],[_Descendants]])),Tasks[[#This Row],[_LeafAC]]))</f>
        <v/>
      </c>
      <c r="BR82" s="41" t="str">
        <f aca="false">IF(Tasks[[#This Row],[Task Name]]="","",MAX(1,N(Tasks[[#This Row],[Level]])))</f>
        <v/>
      </c>
      <c r="BS82" s="41" t="n">
        <f aca="false">ROW()-ROW(Tasks[[#Headers],[ID]])</f>
        <v>77</v>
      </c>
      <c r="BT82" s="41" t="n">
        <f aca="false">IF(OR(Tasks[[#This Row],[Task Name]]="",Tasks[[#This Row],[_Level]]&lt;=1),0,IFERROR(LOOKUP(2,1/(Tasks[[#Headers],[_Level]]:Tasks[[#This Row],[_Level]]=Tasks[[#This Row],[_Level]]-1),ROW(Tasks[[#Headers],[_Level]]:Tasks[[#This Row],[_Level]])),0))</f>
        <v>0</v>
      </c>
      <c r="BU82" s="41" t="n">
        <f aca="false">IFERROR(N(INDEX(Tasks[_Level],Tasks[[#This Row],[_Row]]+1)),0)</f>
        <v>0</v>
      </c>
      <c r="BV82" s="100" t="b">
        <f aca="false">AND(Tasks[[#This Row],[Task Name]]&lt;&gt;"",Tasks[[#This Row],[_NextLevel]]&gt;Tasks[[#This Row],[_Level]])</f>
        <v>0</v>
      </c>
      <c r="BW82" s="41" t="n">
        <f aca="false">IF(Tasks[[#This Row],[_IsSummary]],COUNTIF(Tasks[WBS],Tasks[[#This Row],[WBS]]&amp;".*"),0)</f>
        <v>0</v>
      </c>
      <c r="BX82" s="41" t="n">
        <f aca="false">IF(AND(Tasks[[#This Row],[Task Name]]&lt;&gt;"",NOT(Tasks[[#This Row],[_IsSummary]])),1,0)</f>
        <v>0</v>
      </c>
      <c r="BY82" s="41" t="n">
        <f aca="false">IF(N(Tasks[[#This Row],[Pred1 UID]])=0,0,IFERROR(MATCH(Tasks[[#This Row],[Pred1 UID]],Tasks[UID],0),-1))</f>
        <v>0</v>
      </c>
      <c r="BZ82" s="41" t="n">
        <f aca="false">IF(N(Tasks[[#This Row],[Pred2 UID]])=0,0,IFERROR(MATCH(Tasks[[#This Row],[Pred2 UID]],Tasks[UID],0),-1))</f>
        <v>0</v>
      </c>
      <c r="CA82" s="41" t="n">
        <f aca="false">IF(N(Tasks[[#This Row],[Pred3 UID]])=0,0,IFERROR(MATCH(Tasks[[#This Row],[Pred3 UID]],Tasks[UID],0),-1))</f>
        <v>0</v>
      </c>
      <c r="CB82" s="41" t="n">
        <f aca="false">IF(N(Tasks[[#This Row],[Pred4 UID]])=0,0,IFERROR(MATCH(Tasks[[#This Row],[Pred4 UID]],Tasks[UID],0),-1))</f>
        <v>0</v>
      </c>
      <c r="CC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2" s="101" t="n">
        <f aca="false">IF(OR(Tasks[[#This Row],[_ConstraintCode]]=2,Tasks[[#This Row],[_ConstraintCode]]=3,Tasks[[#This Row],[_ConstraintCode]]=4,Tasks[[#This Row],[_ConstraintCode]]=6),Tasks[[#This Row],[_ConstraintStart]],0)</f>
        <v>0</v>
      </c>
      <c r="CF82" s="101" t="n">
        <f aca="false">IF(OR(Tasks[[#This Row],[_ConstraintCode]]=2,Tasks[[#This Row],[_ConstraintCode]]=3,Tasks[[#This Row],[_ConstraintCode]]=5,Tasks[[#This Row],[_ConstraintCode]]=7),Tasks[[#This Row],[_ConstraintStart]],2958465)</f>
        <v>2958465</v>
      </c>
      <c r="CG8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2" s="101" t="str">
        <f aca="false">IF(NOT(Tasks[[#This Row],[_IsLeaf]]=1),"",IF(N(Tasks[[#This Row],[Duration]])&lt;=0,Tasks[[#This Row],[_LeafCalcStart]],WORKDAY.INTL(Tasks[[#This Row],[_LeafCalcStart]],Tasks[[#This Row],[Duration]]-1,WorkWeek,Holidays)))</f>
        <v/>
      </c>
      <c r="CI8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2" s="41" t="n">
        <f aca="false">IF(NOT(Tasks[[#This Row],[_IsLeaf]]=1),0,IF(N(Tasks[[#This Row],[Actual Finish]])&gt;0,1,MIN(1,N(Tasks[[#This Row],[% Complete]]))))</f>
        <v>0</v>
      </c>
      <c r="CL82" s="41" t="n">
        <f aca="false">IF(OR(NOT(Tasks[[#This Row],[_IsLeaf]]=1),Tasks[[#This Row],[Resource]]=""),0,N(Tasks[[#This Row],[Duration]])*HoursPerDay*IF(Tasks[[#This Row],[Units]]="",DefaultUnits,Tasks[[#This Row],[Units]]))</f>
        <v>0</v>
      </c>
      <c r="CM82" s="41" t="n">
        <f aca="false">IF(Tasks[[#This Row],[_LeafWork]]=0,0,Tasks[[#This Row],[_LeafWork]]*IFERROR(INDEX(res_Rate,MATCH(Tasks[[#This Row],[Resource]],res_Name,0)),0))</f>
        <v>0</v>
      </c>
      <c r="CN82" s="41" t="n">
        <f aca="false">Tasks[[#This Row],[_LeafWork]]+IF(Tasks[[#This Row],[_IsLeaf]]=1,SUMIFS(asg_Work,asg_TaskUID,Tasks[[#This Row],[UID]],asg_Valid,1),0)</f>
        <v>0</v>
      </c>
      <c r="CO82" s="41" t="n">
        <f aca="false">Tasks[[#This Row],[_LeafCost]]+IF(Tasks[[#This Row],[_IsLeaf]]=1,SUMIFS(asg_Cost,asg_TaskUID,Tasks[[#This Row],[UID]],asg_Valid,1),0)</f>
        <v>0</v>
      </c>
      <c r="CP82" s="41" t="n">
        <f aca="false">IF(Tasks[[#This Row],[_LeafTotalCost]]=0,Tasks[[#This Row],[_LeafAC]],Tasks[[#This Row],[_LeafAC]]*Tasks[[#This Row],[_LeafCost]]/Tasks[[#This Row],[_LeafTotalCost]])</f>
        <v>0</v>
      </c>
      <c r="CQ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2" s="41" t="n">
        <f aca="false">IF(NOT(Tasks[[#This Row],[_IsLeaf]]=1),0,MAX(_xlfn.MAXIFS(Tasks[_Row],Tasks[Pred1 UID],Tasks[[#This Row],[UID]]),_xlfn.MAXIFS(Tasks[_Row],Tasks[Pred2 UID],Tasks[[#This Row],[UID]]),_xlfn.MAXIFS(Tasks[_Row],Tasks[Pred3 UID],Tasks[[#This Row],[UID]]),_xlfn.MAXIFS(Tasks[_Row],Tasks[Pred4 UID],Tasks[[#This Row],[UID]])))</f>
        <v>0</v>
      </c>
      <c r="CZ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2" s="101" t="str">
        <f aca="false">IF(NOT(Tasks[[#This Row],[_IsLeaf]]=1),"",IF(N(Tasks[[#This Row],[Duration]])&lt;=0,Tasks[[#This Row],[_LeafLateFinish]],WORKDAY.INTL(Tasks[[#This Row],[_LeafLateFinish]],-(Tasks[[#This Row],[Duration]]-1),WorkWeek,Holidays)))</f>
        <v/>
      </c>
      <c r="DC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2" s="100" t="b">
        <f aca="false">AND(Tasks[[#This Row],[_IsLeaf]]=1,Tasks[[#This Row],[_LeafProgress]]&lt;1,N(Tasks[[#This Row],[_LeafTotalSlack]])&lt;=CriticalSlackDays)</f>
        <v>0</v>
      </c>
      <c r="DE82" s="41" t="n">
        <f aca="false">IF(AND(Tasks[[#This Row],[_IsLeaf]]=1,Tasks[[#This Row],[_ConstraintCode]]=1,Tasks[[#This Row],[Mode]]&lt;&gt;"Manual",N(Tasks[[#This Row],[Actual Start]])=0),MAX(0,N(Tasks[[#This Row],[Free Slack]])),0)</f>
        <v>0</v>
      </c>
      <c r="DF82" s="101" t="str">
        <f aca="false">IF(NOT(Tasks[[#This Row],[_IsLeaf]]=1),"",IF(Tasks[[#This Row],[_AlapShift]]=0,Tasks[[#This Row],[_LeafCalcStart]],WORKDAY.INTL(Tasks[[#This Row],[_LeafCalcStart]],Tasks[[#This Row],[_AlapShift]],WorkWeek,Holidays)))</f>
        <v/>
      </c>
      <c r="DG82" s="101" t="str">
        <f aca="false">IF(NOT(Tasks[[#This Row],[_IsLeaf]]=1),"",IF(Tasks[[#This Row],[_AlapShift]]=0,Tasks[[#This Row],[_LeafCalcFinish]],WORKDAY.INTL(Tasks[[#This Row],[_LeafCalcFinish]],Tasks[[#This Row],[_AlapShift]],WorkWeek,Holidays)))</f>
        <v/>
      </c>
      <c r="DH82" s="101" t="str">
        <f aca="false">IF(NOT(Tasks[[#This Row],[_IsLeaf]]=1),"",IF(Tasks[[#This Row],[_AlapShift]]=0,Tasks[[#This Row],[_LeafFcstStart]],WORKDAY.INTL(Tasks[[#This Row],[_LeafFcstStart]],Tasks[[#This Row],[_AlapShift]],WorkWeek,Holidays)))</f>
        <v/>
      </c>
      <c r="DI82" s="101" t="str">
        <f aca="false">IF(NOT(Tasks[[#This Row],[_IsLeaf]]=1),"",IF(Tasks[[#This Row],[_AlapShift]]=0,Tasks[[#This Row],[_LeafFcstFinish]],WORKDAY.INTL(Tasks[[#This Row],[_LeafFcstFinish]],Tasks[[#This Row],[_AlapShift]],WorkWeek,Holidays)))</f>
        <v/>
      </c>
      <c r="DJ82" s="101" t="str">
        <f aca="false">IF(Tasks[[#This Row],[Task Name]]="","",IF(Tasks[[#This Row],[_IsSummary]],MIN(INDEX(Tasks[_ShownCalcStart],Tasks[[#This Row],[_Row]]+1):INDEX(Tasks[_ShownCalcStart],Tasks[[#This Row],[_Row]]+Tasks[[#This Row],[_Descendants]])),Tasks[[#This Row],[_ShownCalcStart]]))</f>
        <v/>
      </c>
      <c r="DK82" s="101" t="str">
        <f aca="false">IF(Tasks[[#This Row],[Task Name]]="","",IF(Tasks[[#This Row],[_IsSummary]],MAX(INDEX(Tasks[_ShownCalcFinish],Tasks[[#This Row],[_Row]]+1):INDEX(Tasks[_ShownCalcFinish],Tasks[[#This Row],[_Row]]+Tasks[[#This Row],[_Descendants]])),Tasks[[#This Row],[_ShownCalcFinish]]))</f>
        <v/>
      </c>
      <c r="D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2" s="41" t="n">
        <f aca="false">IF(AND(Tasks[[#This Row],[_IsLeaf]]=1,Tasks[[#This Row],[_LeafTotalWork]]&gt;0),NETWORKDAYS.INTL(ProjectStart,Tasks[[#This Row],[_ShownFcstStart]],WorkWeek,Holidays),0)</f>
        <v>0</v>
      </c>
      <c r="DY82" s="41" t="n">
        <f aca="false">IF(AND(Tasks[[#This Row],[_IsLeaf]]=1,Tasks[[#This Row],[_LeafTotalWork]]&gt;0),MAX(Tasks[[#This Row],[_StartWorkday]],NETWORKDAYS.INTL(ProjectStart,Tasks[[#This Row],[_ShownFcstFinish]],WorkWeek,Holidays)),0)</f>
        <v>0</v>
      </c>
      <c r="DZ82" s="41" t="n">
        <f aca="false">IF(AND(Tasks[[#This Row],[_IsLeaf]]=1,Tasks[[#This Row],[_LeafTotalWork]]&gt;0),Tasks[[#This Row],[_LeafWork]]/(Tasks[[#This Row],[_FinishWorkday]]-Tasks[[#This Row],[_StartWorkday]]+1),0)</f>
        <v>0</v>
      </c>
      <c r="EA82" s="41" t="n">
        <f aca="false">Tasks[[#This Row],[_WorkPerWorkday]]*(Tasks[[#This Row],[_StartWorkday]]-1)</f>
        <v>-0</v>
      </c>
      <c r="EB82" s="41" t="n">
        <f aca="false">IF(Tasks[[#This Row],[_IsLeaf]]=1,MAX(N(Tasks[[#This Row],[Duration]]),0.1),0)</f>
        <v>0</v>
      </c>
      <c r="EC82" s="41" t="n">
        <f aca="false">Tasks[[#This Row],[_WeightDur]]*Tasks[[#This Row],[_LeafProgress]]</f>
        <v>0</v>
      </c>
      <c r="ED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2" s="41" t="str">
        <f aca="false">IF(AND(Tasks[[#This Row],[_IsLeaf]]=1,N(Tasks[[#This Row],[Duration]])=0,Tasks[[#This Row],[_LeafProgress]]&lt;1),Tasks[[#This Row],[_ShownFcstFinish]]+Tasks[[#This Row],[_Row]]/100000,"")</f>
        <v/>
      </c>
      <c r="EF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2" s="41" t="n">
        <f aca="false">IF(NOT(Tasks[[#This Row],[_IsLeaf]]=1),0,IF(Tasks[[#This Row],[Baseline Cost]]="",Tasks[[#This Row],[_LeafTotalCost]],N(Tasks[[#This Row],[Baseline Cost]])))</f>
        <v>0</v>
      </c>
      <c r="EH82" s="41" t="n">
        <f aca="false">Tasks[[#This Row],[_LeafBudget]]*Tasks[[#This Row],[_PlannedPct]]</f>
        <v>0</v>
      </c>
      <c r="EI82" s="41" t="n">
        <f aca="false">Tasks[[#This Row],[_LeafBudget]]*Tasks[[#This Row],[_LeafProgress]]</f>
        <v>0</v>
      </c>
      <c r="EJ82" s="41" t="n">
        <f aca="false">IF(NOT(Tasks[[#This Row],[_IsLeaf]]=1),0,IF(Tasks[[#This Row],[Actual Cost]]="",Tasks[[#This Row],[_LeafTotalCost]]*Tasks[[#This Row],[_LeafProgress]],N(Tasks[[#This Row],[Actual Cost]])))</f>
        <v>0</v>
      </c>
      <c r="EK82" s="41" t="str">
        <f aca="false">IF(Tasks[[#This Row],[Task Name]]="","",LEFT(Tasks[[#This Row],[WBS]],FIND(".",Tasks[[#This Row],[WBS]]&amp;".")-1))</f>
        <v/>
      </c>
      <c r="EL82" s="41" t="str">
        <f aca="false">IF(AND(Tasks[[#This Row],[Task Name]]&lt;&gt;"",Tasks[[#This Row],[_Level]]=1),Tasks[[#This Row],[_Row]],"")</f>
        <v/>
      </c>
      <c r="EM82" s="41" t="str">
        <f aca="false">IF(AND(Tasks[[#This Row],[_IsLeaf]]=1,N(Tasks[[#This Row],[Duration]])=0),Tasks[[#This Row],[Planned Finish]]+Tasks[[#This Row],[_Row]]/100000,"")</f>
        <v/>
      </c>
      <c r="EN82" s="41" t="str">
        <f aca="false">IF(AND(Tasks[[#This Row],[_IsLeaf]]=1,Tasks[[#This Row],[_LeafProgress]]&lt;1,OR(N(Tasks[[#This Row],[Finish Var]])&gt;0,Tasks[[#This Row],[Status]]="Late Start")),MAX(0,Tasks[[#This Row],[Finish Var]])+1-Tasks[[#This Row],[_Row]]/1000000,"")</f>
        <v/>
      </c>
      <c r="EO82" s="41" t="str">
        <f aca="false">IF(AND(Tasks[[#This Row],[_IsLeaf]]=1,N(Tasks[[#This Row],[Actual Start]])=0,Tasks[[#This Row],[_ShownFcstStart]]&gt;=StatusDate,Tasks[[#This Row],[_ShownFcstStart]]&lt;=LookaheadEnd),Tasks[[#This Row],[_ShownFcstStart]]+Tasks[[#This Row],[_Row]]/100000,"")</f>
        <v/>
      </c>
      <c r="EP82" s="41" t="str">
        <f aca="false">IF(AND(Tasks[[#This Row],[_IsLeaf]]=1,Tasks[[#This Row],[_LeafProgress]]&lt;1,Tasks[[#This Row],[_ShownFcstFinish]]&gt;=StatusDate,Tasks[[#This Row],[_ShownFcstFinish]]&lt;=LookaheadEnd),Tasks[[#This Row],[_ShownFcstFinish]]+Tasks[[#This Row],[_Row]]/100000,"")</f>
        <v/>
      </c>
      <c r="EQ82" s="41" t="str">
        <f aca="false">IF(Tasks[[#This Row],[_LeafCritical]],Tasks[[#This Row],[_ShownFcstStart]]+Tasks[[#This Row],[_Row]]/100000,"")</f>
        <v/>
      </c>
      <c r="ER82" s="41" t="n">
        <f aca="false">Tasks[[#This Row],[_LeafWork]]*Tasks[[#This Row],[_LeafProgress]]</f>
        <v>0</v>
      </c>
      <c r="ES82" s="101" t="str">
        <f aca="false">IF(AND(Tasks[[#This Row],[_IsLeaf]]=1,Tasks[[#This Row],[_LeafProgress]]&gt;=1),IF(N(Tasks[[#This Row],[Actual Finish]])&gt;0,Tasks[[#This Row],[Actual Finish]],Tasks[[#This Row],[_ShownFcstFinish]]),"")</f>
        <v/>
      </c>
      <c r="ET82" s="41" t="n">
        <f aca="false">IF(Tasks[[#This Row],[_IsLeaf]]=1,N(Tasks[[#This Row],[Story Points]]),0)</f>
        <v>0</v>
      </c>
      <c r="EU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29"/>
      <c r="O83" s="29"/>
      <c r="P83" s="29"/>
      <c r="Q83" s="29"/>
      <c r="R83" s="29"/>
      <c r="S83" s="29"/>
      <c r="T83" s="30"/>
      <c r="U83" s="75"/>
      <c r="V83" s="75"/>
      <c r="W83" s="25" t="str">
        <f aca="false">IF(Tasks[[#This Row],[Task Name]]="","",IF(N(Tasks[[#This Row],[Baseline Start]])&gt;0,Tasks[[#This Row],[Baseline Start]],Tasks[[#This Row],[_CalcStart]]))</f>
        <v/>
      </c>
      <c r="X83" s="25" t="str">
        <f aca="false">IF(Tasks[[#This Row],[Task Name]]="","",IF(N(Tasks[[#This Row],[Baseline Finish]])&gt;0,Tasks[[#This Row],[Baseline Finish]],Tasks[[#This Row],[_CalcFinish]]))</f>
        <v/>
      </c>
      <c r="Y83" s="75"/>
      <c r="Z83" s="75"/>
      <c r="AA83" s="25" t="str">
        <f aca="false">IF(Tasks[[#This Row],[Task Name]]="","",IF(Tasks[[#This Row],[_IsSummary]],MIN(INDEX(Tasks[_ShownFcstStart],Tasks[[#This Row],[_Row]]+1):INDEX(Tasks[_ShownFcstStart],Tasks[[#This Row],[_Row]]+Tasks[[#This Row],[_Descendants]])),Tasks[[#This Row],[_ShownFcstStart]]))</f>
        <v/>
      </c>
      <c r="AB83" s="25" t="str">
        <f aca="false">IF(Tasks[[#This Row],[Task Name]]="","",IF(Tasks[[#This Row],[_IsSummary]],MAX(INDEX(Tasks[_ShownFcstFinish],Tasks[[#This Row],[_Row]]+1):INDEX(Tasks[_ShownFcstFinish],Tasks[[#This Row],[_Row]]+Tasks[[#This Row],[_Descendants]])),Tasks[[#This Row],[_ShownFcstFinish]]))</f>
        <v/>
      </c>
      <c r="AC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3" s="25" t="str">
        <f aca="false">IF(Tasks[[#This Row],[Task Name]]="","",IF(Tasks[[#This Row],[_IsSummary]],MIN(INDEX(Tasks[_LeafLateStart],Tasks[[#This Row],[_Row]]+1):INDEX(Tasks[_LeafLateStart],Tasks[[#This Row],[_Row]]+Tasks[[#This Row],[_Descendants]])),Tasks[[#This Row],[_LeafLateStart]]))</f>
        <v/>
      </c>
      <c r="AF83" s="25" t="str">
        <f aca="false">IF(Tasks[[#This Row],[Task Name]]="","",IF(Tasks[[#This Row],[_IsSummary]],MAX(INDEX(Tasks[_LeafLateFinish],Tasks[[#This Row],[_Row]]+1):INDEX(Tasks[_LeafLateFinish],Tasks[[#This Row],[_Row]]+Tasks[[#This Row],[_Descendants]])),Tasks[[#This Row],[_LeafLateFinish]]))</f>
        <v/>
      </c>
      <c r="AG83" s="28" t="str">
        <f aca="false">IF(Tasks[[#This Row],[Task Name]]="","",IF(Tasks[[#This Row],[_IsSummary]],MIN(INDEX(Tasks[_LeafTotalSlack],Tasks[[#This Row],[_Row]]+1):INDEX(Tasks[_LeafTotalSlack],Tasks[[#This Row],[_Row]]+Tasks[[#This Row],[_Descendants]])),Tasks[[#This Row],[_LeafTotalSlack]]))</f>
        <v/>
      </c>
      <c r="AH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3" s="28" t="str">
        <f aca="false">IF(Tasks[[#This Row],[Task Name]]="","",IF(IF(Tasks[[#This Row],[_IsSummary]],COUNTIF(INDEX(Tasks[_LeafCritical],Tasks[[#This Row],[_Row]]+1):INDEX(Tasks[_LeafCritical],Tasks[[#This Row],[_Row]]+Tasks[[#This Row],[_Descendants]]),TRUE())&gt;0,Tasks[[#This Row],[_LeafCritical]]),"Yes",""))</f>
        <v/>
      </c>
      <c r="AJ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3" s="89"/>
      <c r="AM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3" s="28" t="str">
        <f aca="false">IF(Tasks[[#This Row],[Task Name]]="","",IF(Tasks[[#This Row],[Progress]]&gt;=1,"Complete",IF(OR(N(Tasks[[#This Row],[Actual Start]])&gt;0,Tasks[[#This Row],[Progress]]&gt;0),IF(Tasks[[#This Row],[Finish Var]]&gt;0,"Behind","In Progress"),IF(Tasks[[#This Row],[Planned Start]]&lt;StatusDate,"Late Start","Not Started"))))</f>
        <v/>
      </c>
      <c r="AO83" s="30"/>
      <c r="AP83" s="89"/>
      <c r="AQ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3" s="96" t="str">
        <f aca="false">IF(Tasks[[#This Row],[Task Name]]="","",IF(Tasks[[#This Row],[_IsSummary]],SUM(INDEX(Tasks[_LeafTotalWork],Tasks[[#This Row],[_Row]]+1):INDEX(Tasks[_LeafTotalWork],Tasks[[#This Row],[_Row]]+Tasks[[#This Row],[_Descendants]])),Tasks[[#This Row],[_LeafTotalWork]]))</f>
        <v/>
      </c>
      <c r="AT83" s="97" t="str">
        <f aca="false">IF(Tasks[[#This Row],[Task Name]]="","",IF(Tasks[[#This Row],[_IsSummary]],SUM(INDEX(Tasks[_LeafTotalCost],Tasks[[#This Row],[_Row]]+1):INDEX(Tasks[_LeafTotalCost],Tasks[[#This Row],[_Row]]+Tasks[[#This Row],[_Descendants]])),Tasks[[#This Row],[_LeafTotalCost]]))</f>
        <v/>
      </c>
      <c r="AU83" s="98"/>
      <c r="AV83" s="29"/>
      <c r="AW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3" s="83"/>
      <c r="AY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3" s="30"/>
      <c r="BA83" s="25" t="str">
        <f aca="false">IF(Tasks[[#This Row],[Task Name]]="","",Tasks[[#This Row],[Forecast Start]])</f>
        <v/>
      </c>
      <c r="BB83" s="25" t="str">
        <f aca="false">IF(Tasks[[#This Row],[Task Name]]="","",Tasks[[#This Row],[Forecast Finish]])</f>
        <v/>
      </c>
      <c r="BC83" s="28" t="str">
        <f aca="false">IF(Tasks[[#This Row],[Task Name]]="","",IF(Tasks[[#This Row],[_IsSummary]],NETWORKDAYS.INTL(Tasks[[#This Row],[Forecast Start]],Tasks[[#This Row],[Forecast Finish]],WorkWeek,Holidays),N(Tasks[[#This Row],[Duration]])))</f>
        <v/>
      </c>
      <c r="BD83" s="96" t="str">
        <f aca="false">IF(Tasks[[#This Row],[Task Name]]="","",Tasks[[#This Row],[Work]])</f>
        <v/>
      </c>
      <c r="BE83" s="97" t="str">
        <f aca="false">IF(Tasks[[#This Row],[Task Name]]="","",Tasks[[#This Row],[Cost]])</f>
        <v/>
      </c>
      <c r="BF83" s="75"/>
      <c r="BG83" s="75"/>
      <c r="BH83" s="29"/>
      <c r="BI83" s="99"/>
      <c r="BJ83" s="98"/>
      <c r="BK83" s="28" t="str">
        <f aca="false">IF(OR(Tasks[[#This Row],[Task Name]]="",Tasks[[#This Row],[Baseline Duration]]=""),"",Tasks[[#This Row],[BL Source Duration]]-N(Tasks[[#This Row],[Baseline Duration]]))</f>
        <v/>
      </c>
      <c r="BL83" s="96" t="str">
        <f aca="false">IF(OR(Tasks[[#This Row],[Task Name]]="",Tasks[[#This Row],[Baseline Work]]=""),"",Tasks[[#This Row],[Work]]-N(Tasks[[#This Row],[Baseline Work]]))</f>
        <v/>
      </c>
      <c r="BM83" s="97" t="str">
        <f aca="false">IF(OR(Tasks[[#This Row],[Task Name]]="",Tasks[[#This Row],[Baseline Cost]]=""),"",Tasks[[#This Row],[Cost]]-N(Tasks[[#This Row],[Baseline Cost]]))</f>
        <v/>
      </c>
      <c r="BN83" s="97" t="str">
        <f aca="false">IF(Tasks[[#This Row],[Task Name]]="","",IF(Tasks[[#This Row],[_IsSummary]],SUM(INDEX(Tasks[_LeafBudget],Tasks[[#This Row],[_Row]]+1):INDEX(Tasks[_LeafBudget],Tasks[[#This Row],[_Row]]+Tasks[[#This Row],[_Descendants]])),Tasks[[#This Row],[_LeafBudget]]))</f>
        <v/>
      </c>
      <c r="BO83" s="97" t="str">
        <f aca="false">IF(Tasks[[#This Row],[Task Name]]="","",IF(Tasks[[#This Row],[_IsSummary]],SUM(INDEX(Tasks[_LeafPV],Tasks[[#This Row],[_Row]]+1):INDEX(Tasks[_LeafPV],Tasks[[#This Row],[_Row]]+Tasks[[#This Row],[_Descendants]])),Tasks[[#This Row],[_LeafPV]]))</f>
        <v/>
      </c>
      <c r="BP83" s="97" t="str">
        <f aca="false">IF(Tasks[[#This Row],[Task Name]]="","",IF(Tasks[[#This Row],[_IsSummary]],SUM(INDEX(Tasks[_LeafEV],Tasks[[#This Row],[_Row]]+1):INDEX(Tasks[_LeafEV],Tasks[[#This Row],[_Row]]+Tasks[[#This Row],[_Descendants]])),Tasks[[#This Row],[_LeafEV]]))</f>
        <v/>
      </c>
      <c r="BQ83" s="97" t="str">
        <f aca="false">IF(Tasks[[#This Row],[Task Name]]="","",IF(Tasks[[#This Row],[_IsSummary]],SUM(INDEX(Tasks[_LeafAC],Tasks[[#This Row],[_Row]]+1):INDEX(Tasks[_LeafAC],Tasks[[#This Row],[_Row]]+Tasks[[#This Row],[_Descendants]])),Tasks[[#This Row],[_LeafAC]]))</f>
        <v/>
      </c>
      <c r="BR83" s="41" t="str">
        <f aca="false">IF(Tasks[[#This Row],[Task Name]]="","",MAX(1,N(Tasks[[#This Row],[Level]])))</f>
        <v/>
      </c>
      <c r="BS83" s="41" t="n">
        <f aca="false">ROW()-ROW(Tasks[[#Headers],[ID]])</f>
        <v>78</v>
      </c>
      <c r="BT83" s="41" t="n">
        <f aca="false">IF(OR(Tasks[[#This Row],[Task Name]]="",Tasks[[#This Row],[_Level]]&lt;=1),0,IFERROR(LOOKUP(2,1/(Tasks[[#Headers],[_Level]]:Tasks[[#This Row],[_Level]]=Tasks[[#This Row],[_Level]]-1),ROW(Tasks[[#Headers],[_Level]]:Tasks[[#This Row],[_Level]])),0))</f>
        <v>0</v>
      </c>
      <c r="BU83" s="41" t="n">
        <f aca="false">IFERROR(N(INDEX(Tasks[_Level],Tasks[[#This Row],[_Row]]+1)),0)</f>
        <v>0</v>
      </c>
      <c r="BV83" s="100" t="b">
        <f aca="false">AND(Tasks[[#This Row],[Task Name]]&lt;&gt;"",Tasks[[#This Row],[_NextLevel]]&gt;Tasks[[#This Row],[_Level]])</f>
        <v>0</v>
      </c>
      <c r="BW83" s="41" t="n">
        <f aca="false">IF(Tasks[[#This Row],[_IsSummary]],COUNTIF(Tasks[WBS],Tasks[[#This Row],[WBS]]&amp;".*"),0)</f>
        <v>0</v>
      </c>
      <c r="BX83" s="41" t="n">
        <f aca="false">IF(AND(Tasks[[#This Row],[Task Name]]&lt;&gt;"",NOT(Tasks[[#This Row],[_IsSummary]])),1,0)</f>
        <v>0</v>
      </c>
      <c r="BY83" s="41" t="n">
        <f aca="false">IF(N(Tasks[[#This Row],[Pred1 UID]])=0,0,IFERROR(MATCH(Tasks[[#This Row],[Pred1 UID]],Tasks[UID],0),-1))</f>
        <v>0</v>
      </c>
      <c r="BZ83" s="41" t="n">
        <f aca="false">IF(N(Tasks[[#This Row],[Pred2 UID]])=0,0,IFERROR(MATCH(Tasks[[#This Row],[Pred2 UID]],Tasks[UID],0),-1))</f>
        <v>0</v>
      </c>
      <c r="CA83" s="41" t="n">
        <f aca="false">IF(N(Tasks[[#This Row],[Pred3 UID]])=0,0,IFERROR(MATCH(Tasks[[#This Row],[Pred3 UID]],Tasks[UID],0),-1))</f>
        <v>0</v>
      </c>
      <c r="CB83" s="41" t="n">
        <f aca="false">IF(N(Tasks[[#This Row],[Pred4 UID]])=0,0,IFERROR(MATCH(Tasks[[#This Row],[Pred4 UID]],Tasks[UID],0),-1))</f>
        <v>0</v>
      </c>
      <c r="CC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3" s="101" t="n">
        <f aca="false">IF(OR(Tasks[[#This Row],[_ConstraintCode]]=2,Tasks[[#This Row],[_ConstraintCode]]=3,Tasks[[#This Row],[_ConstraintCode]]=4,Tasks[[#This Row],[_ConstraintCode]]=6),Tasks[[#This Row],[_ConstraintStart]],0)</f>
        <v>0</v>
      </c>
      <c r="CF83" s="101" t="n">
        <f aca="false">IF(OR(Tasks[[#This Row],[_ConstraintCode]]=2,Tasks[[#This Row],[_ConstraintCode]]=3,Tasks[[#This Row],[_ConstraintCode]]=5,Tasks[[#This Row],[_ConstraintCode]]=7),Tasks[[#This Row],[_ConstraintStart]],2958465)</f>
        <v>2958465</v>
      </c>
      <c r="CG8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3" s="101" t="str">
        <f aca="false">IF(NOT(Tasks[[#This Row],[_IsLeaf]]=1),"",IF(N(Tasks[[#This Row],[Duration]])&lt;=0,Tasks[[#This Row],[_LeafCalcStart]],WORKDAY.INTL(Tasks[[#This Row],[_LeafCalcStart]],Tasks[[#This Row],[Duration]]-1,WorkWeek,Holidays)))</f>
        <v/>
      </c>
      <c r="CI8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3" s="41" t="n">
        <f aca="false">IF(NOT(Tasks[[#This Row],[_IsLeaf]]=1),0,IF(N(Tasks[[#This Row],[Actual Finish]])&gt;0,1,MIN(1,N(Tasks[[#This Row],[% Complete]]))))</f>
        <v>0</v>
      </c>
      <c r="CL83" s="41" t="n">
        <f aca="false">IF(OR(NOT(Tasks[[#This Row],[_IsLeaf]]=1),Tasks[[#This Row],[Resource]]=""),0,N(Tasks[[#This Row],[Duration]])*HoursPerDay*IF(Tasks[[#This Row],[Units]]="",DefaultUnits,Tasks[[#This Row],[Units]]))</f>
        <v>0</v>
      </c>
      <c r="CM83" s="41" t="n">
        <f aca="false">IF(Tasks[[#This Row],[_LeafWork]]=0,0,Tasks[[#This Row],[_LeafWork]]*IFERROR(INDEX(res_Rate,MATCH(Tasks[[#This Row],[Resource]],res_Name,0)),0))</f>
        <v>0</v>
      </c>
      <c r="CN83" s="41" t="n">
        <f aca="false">Tasks[[#This Row],[_LeafWork]]+IF(Tasks[[#This Row],[_IsLeaf]]=1,SUMIFS(asg_Work,asg_TaskUID,Tasks[[#This Row],[UID]],asg_Valid,1),0)</f>
        <v>0</v>
      </c>
      <c r="CO83" s="41" t="n">
        <f aca="false">Tasks[[#This Row],[_LeafCost]]+IF(Tasks[[#This Row],[_IsLeaf]]=1,SUMIFS(asg_Cost,asg_TaskUID,Tasks[[#This Row],[UID]],asg_Valid,1),0)</f>
        <v>0</v>
      </c>
      <c r="CP83" s="41" t="n">
        <f aca="false">IF(Tasks[[#This Row],[_LeafTotalCost]]=0,Tasks[[#This Row],[_LeafAC]],Tasks[[#This Row],[_LeafAC]]*Tasks[[#This Row],[_LeafCost]]/Tasks[[#This Row],[_LeafTotalCost]])</f>
        <v>0</v>
      </c>
      <c r="CQ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3" s="41" t="n">
        <f aca="false">IF(NOT(Tasks[[#This Row],[_IsLeaf]]=1),0,MAX(_xlfn.MAXIFS(Tasks[_Row],Tasks[Pred1 UID],Tasks[[#This Row],[UID]]),_xlfn.MAXIFS(Tasks[_Row],Tasks[Pred2 UID],Tasks[[#This Row],[UID]]),_xlfn.MAXIFS(Tasks[_Row],Tasks[Pred3 UID],Tasks[[#This Row],[UID]]),_xlfn.MAXIFS(Tasks[_Row],Tasks[Pred4 UID],Tasks[[#This Row],[UID]])))</f>
        <v>0</v>
      </c>
      <c r="CZ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3" s="101" t="str">
        <f aca="false">IF(NOT(Tasks[[#This Row],[_IsLeaf]]=1),"",IF(N(Tasks[[#This Row],[Duration]])&lt;=0,Tasks[[#This Row],[_LeafLateFinish]],WORKDAY.INTL(Tasks[[#This Row],[_LeafLateFinish]],-(Tasks[[#This Row],[Duration]]-1),WorkWeek,Holidays)))</f>
        <v/>
      </c>
      <c r="DC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3" s="100" t="b">
        <f aca="false">AND(Tasks[[#This Row],[_IsLeaf]]=1,Tasks[[#This Row],[_LeafProgress]]&lt;1,N(Tasks[[#This Row],[_LeafTotalSlack]])&lt;=CriticalSlackDays)</f>
        <v>0</v>
      </c>
      <c r="DE83" s="41" t="n">
        <f aca="false">IF(AND(Tasks[[#This Row],[_IsLeaf]]=1,Tasks[[#This Row],[_ConstraintCode]]=1,Tasks[[#This Row],[Mode]]&lt;&gt;"Manual",N(Tasks[[#This Row],[Actual Start]])=0),MAX(0,N(Tasks[[#This Row],[Free Slack]])),0)</f>
        <v>0</v>
      </c>
      <c r="DF83" s="101" t="str">
        <f aca="false">IF(NOT(Tasks[[#This Row],[_IsLeaf]]=1),"",IF(Tasks[[#This Row],[_AlapShift]]=0,Tasks[[#This Row],[_LeafCalcStart]],WORKDAY.INTL(Tasks[[#This Row],[_LeafCalcStart]],Tasks[[#This Row],[_AlapShift]],WorkWeek,Holidays)))</f>
        <v/>
      </c>
      <c r="DG83" s="101" t="str">
        <f aca="false">IF(NOT(Tasks[[#This Row],[_IsLeaf]]=1),"",IF(Tasks[[#This Row],[_AlapShift]]=0,Tasks[[#This Row],[_LeafCalcFinish]],WORKDAY.INTL(Tasks[[#This Row],[_LeafCalcFinish]],Tasks[[#This Row],[_AlapShift]],WorkWeek,Holidays)))</f>
        <v/>
      </c>
      <c r="DH83" s="101" t="str">
        <f aca="false">IF(NOT(Tasks[[#This Row],[_IsLeaf]]=1),"",IF(Tasks[[#This Row],[_AlapShift]]=0,Tasks[[#This Row],[_LeafFcstStart]],WORKDAY.INTL(Tasks[[#This Row],[_LeafFcstStart]],Tasks[[#This Row],[_AlapShift]],WorkWeek,Holidays)))</f>
        <v/>
      </c>
      <c r="DI83" s="101" t="str">
        <f aca="false">IF(NOT(Tasks[[#This Row],[_IsLeaf]]=1),"",IF(Tasks[[#This Row],[_AlapShift]]=0,Tasks[[#This Row],[_LeafFcstFinish]],WORKDAY.INTL(Tasks[[#This Row],[_LeafFcstFinish]],Tasks[[#This Row],[_AlapShift]],WorkWeek,Holidays)))</f>
        <v/>
      </c>
      <c r="DJ83" s="101" t="str">
        <f aca="false">IF(Tasks[[#This Row],[Task Name]]="","",IF(Tasks[[#This Row],[_IsSummary]],MIN(INDEX(Tasks[_ShownCalcStart],Tasks[[#This Row],[_Row]]+1):INDEX(Tasks[_ShownCalcStart],Tasks[[#This Row],[_Row]]+Tasks[[#This Row],[_Descendants]])),Tasks[[#This Row],[_ShownCalcStart]]))</f>
        <v/>
      </c>
      <c r="DK83" s="101" t="str">
        <f aca="false">IF(Tasks[[#This Row],[Task Name]]="","",IF(Tasks[[#This Row],[_IsSummary]],MAX(INDEX(Tasks[_ShownCalcFinish],Tasks[[#This Row],[_Row]]+1):INDEX(Tasks[_ShownCalcFinish],Tasks[[#This Row],[_Row]]+Tasks[[#This Row],[_Descendants]])),Tasks[[#This Row],[_ShownCalcFinish]]))</f>
        <v/>
      </c>
      <c r="D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3" s="41" t="n">
        <f aca="false">IF(AND(Tasks[[#This Row],[_IsLeaf]]=1,Tasks[[#This Row],[_LeafTotalWork]]&gt;0),NETWORKDAYS.INTL(ProjectStart,Tasks[[#This Row],[_ShownFcstStart]],WorkWeek,Holidays),0)</f>
        <v>0</v>
      </c>
      <c r="DY83" s="41" t="n">
        <f aca="false">IF(AND(Tasks[[#This Row],[_IsLeaf]]=1,Tasks[[#This Row],[_LeafTotalWork]]&gt;0),MAX(Tasks[[#This Row],[_StartWorkday]],NETWORKDAYS.INTL(ProjectStart,Tasks[[#This Row],[_ShownFcstFinish]],WorkWeek,Holidays)),0)</f>
        <v>0</v>
      </c>
      <c r="DZ83" s="41" t="n">
        <f aca="false">IF(AND(Tasks[[#This Row],[_IsLeaf]]=1,Tasks[[#This Row],[_LeafTotalWork]]&gt;0),Tasks[[#This Row],[_LeafWork]]/(Tasks[[#This Row],[_FinishWorkday]]-Tasks[[#This Row],[_StartWorkday]]+1),0)</f>
        <v>0</v>
      </c>
      <c r="EA83" s="41" t="n">
        <f aca="false">Tasks[[#This Row],[_WorkPerWorkday]]*(Tasks[[#This Row],[_StartWorkday]]-1)</f>
        <v>-0</v>
      </c>
      <c r="EB83" s="41" t="n">
        <f aca="false">IF(Tasks[[#This Row],[_IsLeaf]]=1,MAX(N(Tasks[[#This Row],[Duration]]),0.1),0)</f>
        <v>0</v>
      </c>
      <c r="EC83" s="41" t="n">
        <f aca="false">Tasks[[#This Row],[_WeightDur]]*Tasks[[#This Row],[_LeafProgress]]</f>
        <v>0</v>
      </c>
      <c r="ED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3" s="41" t="str">
        <f aca="false">IF(AND(Tasks[[#This Row],[_IsLeaf]]=1,N(Tasks[[#This Row],[Duration]])=0,Tasks[[#This Row],[_LeafProgress]]&lt;1),Tasks[[#This Row],[_ShownFcstFinish]]+Tasks[[#This Row],[_Row]]/100000,"")</f>
        <v/>
      </c>
      <c r="EF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3" s="41" t="n">
        <f aca="false">IF(NOT(Tasks[[#This Row],[_IsLeaf]]=1),0,IF(Tasks[[#This Row],[Baseline Cost]]="",Tasks[[#This Row],[_LeafTotalCost]],N(Tasks[[#This Row],[Baseline Cost]])))</f>
        <v>0</v>
      </c>
      <c r="EH83" s="41" t="n">
        <f aca="false">Tasks[[#This Row],[_LeafBudget]]*Tasks[[#This Row],[_PlannedPct]]</f>
        <v>0</v>
      </c>
      <c r="EI83" s="41" t="n">
        <f aca="false">Tasks[[#This Row],[_LeafBudget]]*Tasks[[#This Row],[_LeafProgress]]</f>
        <v>0</v>
      </c>
      <c r="EJ83" s="41" t="n">
        <f aca="false">IF(NOT(Tasks[[#This Row],[_IsLeaf]]=1),0,IF(Tasks[[#This Row],[Actual Cost]]="",Tasks[[#This Row],[_LeafTotalCost]]*Tasks[[#This Row],[_LeafProgress]],N(Tasks[[#This Row],[Actual Cost]])))</f>
        <v>0</v>
      </c>
      <c r="EK83" s="41" t="str">
        <f aca="false">IF(Tasks[[#This Row],[Task Name]]="","",LEFT(Tasks[[#This Row],[WBS]],FIND(".",Tasks[[#This Row],[WBS]]&amp;".")-1))</f>
        <v/>
      </c>
      <c r="EL83" s="41" t="str">
        <f aca="false">IF(AND(Tasks[[#This Row],[Task Name]]&lt;&gt;"",Tasks[[#This Row],[_Level]]=1),Tasks[[#This Row],[_Row]],"")</f>
        <v/>
      </c>
      <c r="EM83" s="41" t="str">
        <f aca="false">IF(AND(Tasks[[#This Row],[_IsLeaf]]=1,N(Tasks[[#This Row],[Duration]])=0),Tasks[[#This Row],[Planned Finish]]+Tasks[[#This Row],[_Row]]/100000,"")</f>
        <v/>
      </c>
      <c r="EN83" s="41" t="str">
        <f aca="false">IF(AND(Tasks[[#This Row],[_IsLeaf]]=1,Tasks[[#This Row],[_LeafProgress]]&lt;1,OR(N(Tasks[[#This Row],[Finish Var]])&gt;0,Tasks[[#This Row],[Status]]="Late Start")),MAX(0,Tasks[[#This Row],[Finish Var]])+1-Tasks[[#This Row],[_Row]]/1000000,"")</f>
        <v/>
      </c>
      <c r="EO83" s="41" t="str">
        <f aca="false">IF(AND(Tasks[[#This Row],[_IsLeaf]]=1,N(Tasks[[#This Row],[Actual Start]])=0,Tasks[[#This Row],[_ShownFcstStart]]&gt;=StatusDate,Tasks[[#This Row],[_ShownFcstStart]]&lt;=LookaheadEnd),Tasks[[#This Row],[_ShownFcstStart]]+Tasks[[#This Row],[_Row]]/100000,"")</f>
        <v/>
      </c>
      <c r="EP83" s="41" t="str">
        <f aca="false">IF(AND(Tasks[[#This Row],[_IsLeaf]]=1,Tasks[[#This Row],[_LeafProgress]]&lt;1,Tasks[[#This Row],[_ShownFcstFinish]]&gt;=StatusDate,Tasks[[#This Row],[_ShownFcstFinish]]&lt;=LookaheadEnd),Tasks[[#This Row],[_ShownFcstFinish]]+Tasks[[#This Row],[_Row]]/100000,"")</f>
        <v/>
      </c>
      <c r="EQ83" s="41" t="str">
        <f aca="false">IF(Tasks[[#This Row],[_LeafCritical]],Tasks[[#This Row],[_ShownFcstStart]]+Tasks[[#This Row],[_Row]]/100000,"")</f>
        <v/>
      </c>
      <c r="ER83" s="41" t="n">
        <f aca="false">Tasks[[#This Row],[_LeafWork]]*Tasks[[#This Row],[_LeafProgress]]</f>
        <v>0</v>
      </c>
      <c r="ES83" s="101" t="str">
        <f aca="false">IF(AND(Tasks[[#This Row],[_IsLeaf]]=1,Tasks[[#This Row],[_LeafProgress]]&gt;=1),IF(N(Tasks[[#This Row],[Actual Finish]])&gt;0,Tasks[[#This Row],[Actual Finish]],Tasks[[#This Row],[_ShownFcstFinish]]),"")</f>
        <v/>
      </c>
      <c r="ET83" s="41" t="n">
        <f aca="false">IF(Tasks[[#This Row],[_IsLeaf]]=1,N(Tasks[[#This Row],[Story Points]]),0)</f>
        <v>0</v>
      </c>
      <c r="EU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29"/>
      <c r="O84" s="29"/>
      <c r="P84" s="29"/>
      <c r="Q84" s="29"/>
      <c r="R84" s="29"/>
      <c r="S84" s="29"/>
      <c r="T84" s="30"/>
      <c r="U84" s="75"/>
      <c r="V84" s="75"/>
      <c r="W84" s="25" t="str">
        <f aca="false">IF(Tasks[[#This Row],[Task Name]]="","",IF(N(Tasks[[#This Row],[Baseline Start]])&gt;0,Tasks[[#This Row],[Baseline Start]],Tasks[[#This Row],[_CalcStart]]))</f>
        <v/>
      </c>
      <c r="X84" s="25" t="str">
        <f aca="false">IF(Tasks[[#This Row],[Task Name]]="","",IF(N(Tasks[[#This Row],[Baseline Finish]])&gt;0,Tasks[[#This Row],[Baseline Finish]],Tasks[[#This Row],[_CalcFinish]]))</f>
        <v/>
      </c>
      <c r="Y84" s="75"/>
      <c r="Z84" s="75"/>
      <c r="AA84" s="25" t="str">
        <f aca="false">IF(Tasks[[#This Row],[Task Name]]="","",IF(Tasks[[#This Row],[_IsSummary]],MIN(INDEX(Tasks[_ShownFcstStart],Tasks[[#This Row],[_Row]]+1):INDEX(Tasks[_ShownFcstStart],Tasks[[#This Row],[_Row]]+Tasks[[#This Row],[_Descendants]])),Tasks[[#This Row],[_ShownFcstStart]]))</f>
        <v/>
      </c>
      <c r="AB84" s="25" t="str">
        <f aca="false">IF(Tasks[[#This Row],[Task Name]]="","",IF(Tasks[[#This Row],[_IsSummary]],MAX(INDEX(Tasks[_ShownFcstFinish],Tasks[[#This Row],[_Row]]+1):INDEX(Tasks[_ShownFcstFinish],Tasks[[#This Row],[_Row]]+Tasks[[#This Row],[_Descendants]])),Tasks[[#This Row],[_ShownFcstFinish]]))</f>
        <v/>
      </c>
      <c r="AC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4" s="25" t="str">
        <f aca="false">IF(Tasks[[#This Row],[Task Name]]="","",IF(Tasks[[#This Row],[_IsSummary]],MIN(INDEX(Tasks[_LeafLateStart],Tasks[[#This Row],[_Row]]+1):INDEX(Tasks[_LeafLateStart],Tasks[[#This Row],[_Row]]+Tasks[[#This Row],[_Descendants]])),Tasks[[#This Row],[_LeafLateStart]]))</f>
        <v/>
      </c>
      <c r="AF84" s="25" t="str">
        <f aca="false">IF(Tasks[[#This Row],[Task Name]]="","",IF(Tasks[[#This Row],[_IsSummary]],MAX(INDEX(Tasks[_LeafLateFinish],Tasks[[#This Row],[_Row]]+1):INDEX(Tasks[_LeafLateFinish],Tasks[[#This Row],[_Row]]+Tasks[[#This Row],[_Descendants]])),Tasks[[#This Row],[_LeafLateFinish]]))</f>
        <v/>
      </c>
      <c r="AG84" s="28" t="str">
        <f aca="false">IF(Tasks[[#This Row],[Task Name]]="","",IF(Tasks[[#This Row],[_IsSummary]],MIN(INDEX(Tasks[_LeafTotalSlack],Tasks[[#This Row],[_Row]]+1):INDEX(Tasks[_LeafTotalSlack],Tasks[[#This Row],[_Row]]+Tasks[[#This Row],[_Descendants]])),Tasks[[#This Row],[_LeafTotalSlack]]))</f>
        <v/>
      </c>
      <c r="AH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4" s="28" t="str">
        <f aca="false">IF(Tasks[[#This Row],[Task Name]]="","",IF(IF(Tasks[[#This Row],[_IsSummary]],COUNTIF(INDEX(Tasks[_LeafCritical],Tasks[[#This Row],[_Row]]+1):INDEX(Tasks[_LeafCritical],Tasks[[#This Row],[_Row]]+Tasks[[#This Row],[_Descendants]]),TRUE())&gt;0,Tasks[[#This Row],[_LeafCritical]]),"Yes",""))</f>
        <v/>
      </c>
      <c r="AJ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4" s="89"/>
      <c r="AM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4" s="28" t="str">
        <f aca="false">IF(Tasks[[#This Row],[Task Name]]="","",IF(Tasks[[#This Row],[Progress]]&gt;=1,"Complete",IF(OR(N(Tasks[[#This Row],[Actual Start]])&gt;0,Tasks[[#This Row],[Progress]]&gt;0),IF(Tasks[[#This Row],[Finish Var]]&gt;0,"Behind","In Progress"),IF(Tasks[[#This Row],[Planned Start]]&lt;StatusDate,"Late Start","Not Started"))))</f>
        <v/>
      </c>
      <c r="AO84" s="30"/>
      <c r="AP84" s="89"/>
      <c r="AQ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4" s="96" t="str">
        <f aca="false">IF(Tasks[[#This Row],[Task Name]]="","",IF(Tasks[[#This Row],[_IsSummary]],SUM(INDEX(Tasks[_LeafTotalWork],Tasks[[#This Row],[_Row]]+1):INDEX(Tasks[_LeafTotalWork],Tasks[[#This Row],[_Row]]+Tasks[[#This Row],[_Descendants]])),Tasks[[#This Row],[_LeafTotalWork]]))</f>
        <v/>
      </c>
      <c r="AT84" s="97" t="str">
        <f aca="false">IF(Tasks[[#This Row],[Task Name]]="","",IF(Tasks[[#This Row],[_IsSummary]],SUM(INDEX(Tasks[_LeafTotalCost],Tasks[[#This Row],[_Row]]+1):INDEX(Tasks[_LeafTotalCost],Tasks[[#This Row],[_Row]]+Tasks[[#This Row],[_Descendants]])),Tasks[[#This Row],[_LeafTotalCost]]))</f>
        <v/>
      </c>
      <c r="AU84" s="98"/>
      <c r="AV84" s="29"/>
      <c r="AW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4" s="83"/>
      <c r="AY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4" s="30"/>
      <c r="BA84" s="25" t="str">
        <f aca="false">IF(Tasks[[#This Row],[Task Name]]="","",Tasks[[#This Row],[Forecast Start]])</f>
        <v/>
      </c>
      <c r="BB84" s="25" t="str">
        <f aca="false">IF(Tasks[[#This Row],[Task Name]]="","",Tasks[[#This Row],[Forecast Finish]])</f>
        <v/>
      </c>
      <c r="BC84" s="28" t="str">
        <f aca="false">IF(Tasks[[#This Row],[Task Name]]="","",IF(Tasks[[#This Row],[_IsSummary]],NETWORKDAYS.INTL(Tasks[[#This Row],[Forecast Start]],Tasks[[#This Row],[Forecast Finish]],WorkWeek,Holidays),N(Tasks[[#This Row],[Duration]])))</f>
        <v/>
      </c>
      <c r="BD84" s="96" t="str">
        <f aca="false">IF(Tasks[[#This Row],[Task Name]]="","",Tasks[[#This Row],[Work]])</f>
        <v/>
      </c>
      <c r="BE84" s="97" t="str">
        <f aca="false">IF(Tasks[[#This Row],[Task Name]]="","",Tasks[[#This Row],[Cost]])</f>
        <v/>
      </c>
      <c r="BF84" s="75"/>
      <c r="BG84" s="75"/>
      <c r="BH84" s="29"/>
      <c r="BI84" s="99"/>
      <c r="BJ84" s="98"/>
      <c r="BK84" s="28" t="str">
        <f aca="false">IF(OR(Tasks[[#This Row],[Task Name]]="",Tasks[[#This Row],[Baseline Duration]]=""),"",Tasks[[#This Row],[BL Source Duration]]-N(Tasks[[#This Row],[Baseline Duration]]))</f>
        <v/>
      </c>
      <c r="BL84" s="96" t="str">
        <f aca="false">IF(OR(Tasks[[#This Row],[Task Name]]="",Tasks[[#This Row],[Baseline Work]]=""),"",Tasks[[#This Row],[Work]]-N(Tasks[[#This Row],[Baseline Work]]))</f>
        <v/>
      </c>
      <c r="BM84" s="97" t="str">
        <f aca="false">IF(OR(Tasks[[#This Row],[Task Name]]="",Tasks[[#This Row],[Baseline Cost]]=""),"",Tasks[[#This Row],[Cost]]-N(Tasks[[#This Row],[Baseline Cost]]))</f>
        <v/>
      </c>
      <c r="BN84" s="97" t="str">
        <f aca="false">IF(Tasks[[#This Row],[Task Name]]="","",IF(Tasks[[#This Row],[_IsSummary]],SUM(INDEX(Tasks[_LeafBudget],Tasks[[#This Row],[_Row]]+1):INDEX(Tasks[_LeafBudget],Tasks[[#This Row],[_Row]]+Tasks[[#This Row],[_Descendants]])),Tasks[[#This Row],[_LeafBudget]]))</f>
        <v/>
      </c>
      <c r="BO84" s="97" t="str">
        <f aca="false">IF(Tasks[[#This Row],[Task Name]]="","",IF(Tasks[[#This Row],[_IsSummary]],SUM(INDEX(Tasks[_LeafPV],Tasks[[#This Row],[_Row]]+1):INDEX(Tasks[_LeafPV],Tasks[[#This Row],[_Row]]+Tasks[[#This Row],[_Descendants]])),Tasks[[#This Row],[_LeafPV]]))</f>
        <v/>
      </c>
      <c r="BP84" s="97" t="str">
        <f aca="false">IF(Tasks[[#This Row],[Task Name]]="","",IF(Tasks[[#This Row],[_IsSummary]],SUM(INDEX(Tasks[_LeafEV],Tasks[[#This Row],[_Row]]+1):INDEX(Tasks[_LeafEV],Tasks[[#This Row],[_Row]]+Tasks[[#This Row],[_Descendants]])),Tasks[[#This Row],[_LeafEV]]))</f>
        <v/>
      </c>
      <c r="BQ84" s="97" t="str">
        <f aca="false">IF(Tasks[[#This Row],[Task Name]]="","",IF(Tasks[[#This Row],[_IsSummary]],SUM(INDEX(Tasks[_LeafAC],Tasks[[#This Row],[_Row]]+1):INDEX(Tasks[_LeafAC],Tasks[[#This Row],[_Row]]+Tasks[[#This Row],[_Descendants]])),Tasks[[#This Row],[_LeafAC]]))</f>
        <v/>
      </c>
      <c r="BR84" s="41" t="str">
        <f aca="false">IF(Tasks[[#This Row],[Task Name]]="","",MAX(1,N(Tasks[[#This Row],[Level]])))</f>
        <v/>
      </c>
      <c r="BS84" s="41" t="n">
        <f aca="false">ROW()-ROW(Tasks[[#Headers],[ID]])</f>
        <v>79</v>
      </c>
      <c r="BT84" s="41" t="n">
        <f aca="false">IF(OR(Tasks[[#This Row],[Task Name]]="",Tasks[[#This Row],[_Level]]&lt;=1),0,IFERROR(LOOKUP(2,1/(Tasks[[#Headers],[_Level]]:Tasks[[#This Row],[_Level]]=Tasks[[#This Row],[_Level]]-1),ROW(Tasks[[#Headers],[_Level]]:Tasks[[#This Row],[_Level]])),0))</f>
        <v>0</v>
      </c>
      <c r="BU84" s="41" t="n">
        <f aca="false">IFERROR(N(INDEX(Tasks[_Level],Tasks[[#This Row],[_Row]]+1)),0)</f>
        <v>0</v>
      </c>
      <c r="BV84" s="100" t="b">
        <f aca="false">AND(Tasks[[#This Row],[Task Name]]&lt;&gt;"",Tasks[[#This Row],[_NextLevel]]&gt;Tasks[[#This Row],[_Level]])</f>
        <v>0</v>
      </c>
      <c r="BW84" s="41" t="n">
        <f aca="false">IF(Tasks[[#This Row],[_IsSummary]],COUNTIF(Tasks[WBS],Tasks[[#This Row],[WBS]]&amp;".*"),0)</f>
        <v>0</v>
      </c>
      <c r="BX84" s="41" t="n">
        <f aca="false">IF(AND(Tasks[[#This Row],[Task Name]]&lt;&gt;"",NOT(Tasks[[#This Row],[_IsSummary]])),1,0)</f>
        <v>0</v>
      </c>
      <c r="BY84" s="41" t="n">
        <f aca="false">IF(N(Tasks[[#This Row],[Pred1 UID]])=0,0,IFERROR(MATCH(Tasks[[#This Row],[Pred1 UID]],Tasks[UID],0),-1))</f>
        <v>0</v>
      </c>
      <c r="BZ84" s="41" t="n">
        <f aca="false">IF(N(Tasks[[#This Row],[Pred2 UID]])=0,0,IFERROR(MATCH(Tasks[[#This Row],[Pred2 UID]],Tasks[UID],0),-1))</f>
        <v>0</v>
      </c>
      <c r="CA84" s="41" t="n">
        <f aca="false">IF(N(Tasks[[#This Row],[Pred3 UID]])=0,0,IFERROR(MATCH(Tasks[[#This Row],[Pred3 UID]],Tasks[UID],0),-1))</f>
        <v>0</v>
      </c>
      <c r="CB84" s="41" t="n">
        <f aca="false">IF(N(Tasks[[#This Row],[Pred4 UID]])=0,0,IFERROR(MATCH(Tasks[[#This Row],[Pred4 UID]],Tasks[UID],0),-1))</f>
        <v>0</v>
      </c>
      <c r="CC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4" s="101" t="n">
        <f aca="false">IF(OR(Tasks[[#This Row],[_ConstraintCode]]=2,Tasks[[#This Row],[_ConstraintCode]]=3,Tasks[[#This Row],[_ConstraintCode]]=4,Tasks[[#This Row],[_ConstraintCode]]=6),Tasks[[#This Row],[_ConstraintStart]],0)</f>
        <v>0</v>
      </c>
      <c r="CF84" s="101" t="n">
        <f aca="false">IF(OR(Tasks[[#This Row],[_ConstraintCode]]=2,Tasks[[#This Row],[_ConstraintCode]]=3,Tasks[[#This Row],[_ConstraintCode]]=5,Tasks[[#This Row],[_ConstraintCode]]=7),Tasks[[#This Row],[_ConstraintStart]],2958465)</f>
        <v>2958465</v>
      </c>
      <c r="CG8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4" s="101" t="str">
        <f aca="false">IF(NOT(Tasks[[#This Row],[_IsLeaf]]=1),"",IF(N(Tasks[[#This Row],[Duration]])&lt;=0,Tasks[[#This Row],[_LeafCalcStart]],WORKDAY.INTL(Tasks[[#This Row],[_LeafCalcStart]],Tasks[[#This Row],[Duration]]-1,WorkWeek,Holidays)))</f>
        <v/>
      </c>
      <c r="CI8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4" s="41" t="n">
        <f aca="false">IF(NOT(Tasks[[#This Row],[_IsLeaf]]=1),0,IF(N(Tasks[[#This Row],[Actual Finish]])&gt;0,1,MIN(1,N(Tasks[[#This Row],[% Complete]]))))</f>
        <v>0</v>
      </c>
      <c r="CL84" s="41" t="n">
        <f aca="false">IF(OR(NOT(Tasks[[#This Row],[_IsLeaf]]=1),Tasks[[#This Row],[Resource]]=""),0,N(Tasks[[#This Row],[Duration]])*HoursPerDay*IF(Tasks[[#This Row],[Units]]="",DefaultUnits,Tasks[[#This Row],[Units]]))</f>
        <v>0</v>
      </c>
      <c r="CM84" s="41" t="n">
        <f aca="false">IF(Tasks[[#This Row],[_LeafWork]]=0,0,Tasks[[#This Row],[_LeafWork]]*IFERROR(INDEX(res_Rate,MATCH(Tasks[[#This Row],[Resource]],res_Name,0)),0))</f>
        <v>0</v>
      </c>
      <c r="CN84" s="41" t="n">
        <f aca="false">Tasks[[#This Row],[_LeafWork]]+IF(Tasks[[#This Row],[_IsLeaf]]=1,SUMIFS(asg_Work,asg_TaskUID,Tasks[[#This Row],[UID]],asg_Valid,1),0)</f>
        <v>0</v>
      </c>
      <c r="CO84" s="41" t="n">
        <f aca="false">Tasks[[#This Row],[_LeafCost]]+IF(Tasks[[#This Row],[_IsLeaf]]=1,SUMIFS(asg_Cost,asg_TaskUID,Tasks[[#This Row],[UID]],asg_Valid,1),0)</f>
        <v>0</v>
      </c>
      <c r="CP84" s="41" t="n">
        <f aca="false">IF(Tasks[[#This Row],[_LeafTotalCost]]=0,Tasks[[#This Row],[_LeafAC]],Tasks[[#This Row],[_LeafAC]]*Tasks[[#This Row],[_LeafCost]]/Tasks[[#This Row],[_LeafTotalCost]])</f>
        <v>0</v>
      </c>
      <c r="CQ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4" s="41" t="n">
        <f aca="false">IF(NOT(Tasks[[#This Row],[_IsLeaf]]=1),0,MAX(_xlfn.MAXIFS(Tasks[_Row],Tasks[Pred1 UID],Tasks[[#This Row],[UID]]),_xlfn.MAXIFS(Tasks[_Row],Tasks[Pred2 UID],Tasks[[#This Row],[UID]]),_xlfn.MAXIFS(Tasks[_Row],Tasks[Pred3 UID],Tasks[[#This Row],[UID]]),_xlfn.MAXIFS(Tasks[_Row],Tasks[Pred4 UID],Tasks[[#This Row],[UID]])))</f>
        <v>0</v>
      </c>
      <c r="CZ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4" s="101" t="str">
        <f aca="false">IF(NOT(Tasks[[#This Row],[_IsLeaf]]=1),"",IF(N(Tasks[[#This Row],[Duration]])&lt;=0,Tasks[[#This Row],[_LeafLateFinish]],WORKDAY.INTL(Tasks[[#This Row],[_LeafLateFinish]],-(Tasks[[#This Row],[Duration]]-1),WorkWeek,Holidays)))</f>
        <v/>
      </c>
      <c r="DC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4" s="100" t="b">
        <f aca="false">AND(Tasks[[#This Row],[_IsLeaf]]=1,Tasks[[#This Row],[_LeafProgress]]&lt;1,N(Tasks[[#This Row],[_LeafTotalSlack]])&lt;=CriticalSlackDays)</f>
        <v>0</v>
      </c>
      <c r="DE84" s="41" t="n">
        <f aca="false">IF(AND(Tasks[[#This Row],[_IsLeaf]]=1,Tasks[[#This Row],[_ConstraintCode]]=1,Tasks[[#This Row],[Mode]]&lt;&gt;"Manual",N(Tasks[[#This Row],[Actual Start]])=0),MAX(0,N(Tasks[[#This Row],[Free Slack]])),0)</f>
        <v>0</v>
      </c>
      <c r="DF84" s="101" t="str">
        <f aca="false">IF(NOT(Tasks[[#This Row],[_IsLeaf]]=1),"",IF(Tasks[[#This Row],[_AlapShift]]=0,Tasks[[#This Row],[_LeafCalcStart]],WORKDAY.INTL(Tasks[[#This Row],[_LeafCalcStart]],Tasks[[#This Row],[_AlapShift]],WorkWeek,Holidays)))</f>
        <v/>
      </c>
      <c r="DG84" s="101" t="str">
        <f aca="false">IF(NOT(Tasks[[#This Row],[_IsLeaf]]=1),"",IF(Tasks[[#This Row],[_AlapShift]]=0,Tasks[[#This Row],[_LeafCalcFinish]],WORKDAY.INTL(Tasks[[#This Row],[_LeafCalcFinish]],Tasks[[#This Row],[_AlapShift]],WorkWeek,Holidays)))</f>
        <v/>
      </c>
      <c r="DH84" s="101" t="str">
        <f aca="false">IF(NOT(Tasks[[#This Row],[_IsLeaf]]=1),"",IF(Tasks[[#This Row],[_AlapShift]]=0,Tasks[[#This Row],[_LeafFcstStart]],WORKDAY.INTL(Tasks[[#This Row],[_LeafFcstStart]],Tasks[[#This Row],[_AlapShift]],WorkWeek,Holidays)))</f>
        <v/>
      </c>
      <c r="DI84" s="101" t="str">
        <f aca="false">IF(NOT(Tasks[[#This Row],[_IsLeaf]]=1),"",IF(Tasks[[#This Row],[_AlapShift]]=0,Tasks[[#This Row],[_LeafFcstFinish]],WORKDAY.INTL(Tasks[[#This Row],[_LeafFcstFinish]],Tasks[[#This Row],[_AlapShift]],WorkWeek,Holidays)))</f>
        <v/>
      </c>
      <c r="DJ84" s="101" t="str">
        <f aca="false">IF(Tasks[[#This Row],[Task Name]]="","",IF(Tasks[[#This Row],[_IsSummary]],MIN(INDEX(Tasks[_ShownCalcStart],Tasks[[#This Row],[_Row]]+1):INDEX(Tasks[_ShownCalcStart],Tasks[[#This Row],[_Row]]+Tasks[[#This Row],[_Descendants]])),Tasks[[#This Row],[_ShownCalcStart]]))</f>
        <v/>
      </c>
      <c r="DK84" s="101" t="str">
        <f aca="false">IF(Tasks[[#This Row],[Task Name]]="","",IF(Tasks[[#This Row],[_IsSummary]],MAX(INDEX(Tasks[_ShownCalcFinish],Tasks[[#This Row],[_Row]]+1):INDEX(Tasks[_ShownCalcFinish],Tasks[[#This Row],[_Row]]+Tasks[[#This Row],[_Descendants]])),Tasks[[#This Row],[_ShownCalcFinish]]))</f>
        <v/>
      </c>
      <c r="D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4" s="41" t="n">
        <f aca="false">IF(AND(Tasks[[#This Row],[_IsLeaf]]=1,Tasks[[#This Row],[_LeafTotalWork]]&gt;0),NETWORKDAYS.INTL(ProjectStart,Tasks[[#This Row],[_ShownFcstStart]],WorkWeek,Holidays),0)</f>
        <v>0</v>
      </c>
      <c r="DY84" s="41" t="n">
        <f aca="false">IF(AND(Tasks[[#This Row],[_IsLeaf]]=1,Tasks[[#This Row],[_LeafTotalWork]]&gt;0),MAX(Tasks[[#This Row],[_StartWorkday]],NETWORKDAYS.INTL(ProjectStart,Tasks[[#This Row],[_ShownFcstFinish]],WorkWeek,Holidays)),0)</f>
        <v>0</v>
      </c>
      <c r="DZ84" s="41" t="n">
        <f aca="false">IF(AND(Tasks[[#This Row],[_IsLeaf]]=1,Tasks[[#This Row],[_LeafTotalWork]]&gt;0),Tasks[[#This Row],[_LeafWork]]/(Tasks[[#This Row],[_FinishWorkday]]-Tasks[[#This Row],[_StartWorkday]]+1),0)</f>
        <v>0</v>
      </c>
      <c r="EA84" s="41" t="n">
        <f aca="false">Tasks[[#This Row],[_WorkPerWorkday]]*(Tasks[[#This Row],[_StartWorkday]]-1)</f>
        <v>-0</v>
      </c>
      <c r="EB84" s="41" t="n">
        <f aca="false">IF(Tasks[[#This Row],[_IsLeaf]]=1,MAX(N(Tasks[[#This Row],[Duration]]),0.1),0)</f>
        <v>0</v>
      </c>
      <c r="EC84" s="41" t="n">
        <f aca="false">Tasks[[#This Row],[_WeightDur]]*Tasks[[#This Row],[_LeafProgress]]</f>
        <v>0</v>
      </c>
      <c r="ED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4" s="41" t="str">
        <f aca="false">IF(AND(Tasks[[#This Row],[_IsLeaf]]=1,N(Tasks[[#This Row],[Duration]])=0,Tasks[[#This Row],[_LeafProgress]]&lt;1),Tasks[[#This Row],[_ShownFcstFinish]]+Tasks[[#This Row],[_Row]]/100000,"")</f>
        <v/>
      </c>
      <c r="EF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4" s="41" t="n">
        <f aca="false">IF(NOT(Tasks[[#This Row],[_IsLeaf]]=1),0,IF(Tasks[[#This Row],[Baseline Cost]]="",Tasks[[#This Row],[_LeafTotalCost]],N(Tasks[[#This Row],[Baseline Cost]])))</f>
        <v>0</v>
      </c>
      <c r="EH84" s="41" t="n">
        <f aca="false">Tasks[[#This Row],[_LeafBudget]]*Tasks[[#This Row],[_PlannedPct]]</f>
        <v>0</v>
      </c>
      <c r="EI84" s="41" t="n">
        <f aca="false">Tasks[[#This Row],[_LeafBudget]]*Tasks[[#This Row],[_LeafProgress]]</f>
        <v>0</v>
      </c>
      <c r="EJ84" s="41" t="n">
        <f aca="false">IF(NOT(Tasks[[#This Row],[_IsLeaf]]=1),0,IF(Tasks[[#This Row],[Actual Cost]]="",Tasks[[#This Row],[_LeafTotalCost]]*Tasks[[#This Row],[_LeafProgress]],N(Tasks[[#This Row],[Actual Cost]])))</f>
        <v>0</v>
      </c>
      <c r="EK84" s="41" t="str">
        <f aca="false">IF(Tasks[[#This Row],[Task Name]]="","",LEFT(Tasks[[#This Row],[WBS]],FIND(".",Tasks[[#This Row],[WBS]]&amp;".")-1))</f>
        <v/>
      </c>
      <c r="EL84" s="41" t="str">
        <f aca="false">IF(AND(Tasks[[#This Row],[Task Name]]&lt;&gt;"",Tasks[[#This Row],[_Level]]=1),Tasks[[#This Row],[_Row]],"")</f>
        <v/>
      </c>
      <c r="EM84" s="41" t="str">
        <f aca="false">IF(AND(Tasks[[#This Row],[_IsLeaf]]=1,N(Tasks[[#This Row],[Duration]])=0),Tasks[[#This Row],[Planned Finish]]+Tasks[[#This Row],[_Row]]/100000,"")</f>
        <v/>
      </c>
      <c r="EN84" s="41" t="str">
        <f aca="false">IF(AND(Tasks[[#This Row],[_IsLeaf]]=1,Tasks[[#This Row],[_LeafProgress]]&lt;1,OR(N(Tasks[[#This Row],[Finish Var]])&gt;0,Tasks[[#This Row],[Status]]="Late Start")),MAX(0,Tasks[[#This Row],[Finish Var]])+1-Tasks[[#This Row],[_Row]]/1000000,"")</f>
        <v/>
      </c>
      <c r="EO84" s="41" t="str">
        <f aca="false">IF(AND(Tasks[[#This Row],[_IsLeaf]]=1,N(Tasks[[#This Row],[Actual Start]])=0,Tasks[[#This Row],[_ShownFcstStart]]&gt;=StatusDate,Tasks[[#This Row],[_ShownFcstStart]]&lt;=LookaheadEnd),Tasks[[#This Row],[_ShownFcstStart]]+Tasks[[#This Row],[_Row]]/100000,"")</f>
        <v/>
      </c>
      <c r="EP84" s="41" t="str">
        <f aca="false">IF(AND(Tasks[[#This Row],[_IsLeaf]]=1,Tasks[[#This Row],[_LeafProgress]]&lt;1,Tasks[[#This Row],[_ShownFcstFinish]]&gt;=StatusDate,Tasks[[#This Row],[_ShownFcstFinish]]&lt;=LookaheadEnd),Tasks[[#This Row],[_ShownFcstFinish]]+Tasks[[#This Row],[_Row]]/100000,"")</f>
        <v/>
      </c>
      <c r="EQ84" s="41" t="str">
        <f aca="false">IF(Tasks[[#This Row],[_LeafCritical]],Tasks[[#This Row],[_ShownFcstStart]]+Tasks[[#This Row],[_Row]]/100000,"")</f>
        <v/>
      </c>
      <c r="ER84" s="41" t="n">
        <f aca="false">Tasks[[#This Row],[_LeafWork]]*Tasks[[#This Row],[_LeafProgress]]</f>
        <v>0</v>
      </c>
      <c r="ES84" s="101" t="str">
        <f aca="false">IF(AND(Tasks[[#This Row],[_IsLeaf]]=1,Tasks[[#This Row],[_LeafProgress]]&gt;=1),IF(N(Tasks[[#This Row],[Actual Finish]])&gt;0,Tasks[[#This Row],[Actual Finish]],Tasks[[#This Row],[_ShownFcstFinish]]),"")</f>
        <v/>
      </c>
      <c r="ET84" s="41" t="n">
        <f aca="false">IF(Tasks[[#This Row],[_IsLeaf]]=1,N(Tasks[[#This Row],[Story Points]]),0)</f>
        <v>0</v>
      </c>
      <c r="EU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29"/>
      <c r="O85" s="29"/>
      <c r="P85" s="29"/>
      <c r="Q85" s="29"/>
      <c r="R85" s="29"/>
      <c r="S85" s="29"/>
      <c r="T85" s="30"/>
      <c r="U85" s="75"/>
      <c r="V85" s="75"/>
      <c r="W85" s="25" t="str">
        <f aca="false">IF(Tasks[[#This Row],[Task Name]]="","",IF(N(Tasks[[#This Row],[Baseline Start]])&gt;0,Tasks[[#This Row],[Baseline Start]],Tasks[[#This Row],[_CalcStart]]))</f>
        <v/>
      </c>
      <c r="X85" s="25" t="str">
        <f aca="false">IF(Tasks[[#This Row],[Task Name]]="","",IF(N(Tasks[[#This Row],[Baseline Finish]])&gt;0,Tasks[[#This Row],[Baseline Finish]],Tasks[[#This Row],[_CalcFinish]]))</f>
        <v/>
      </c>
      <c r="Y85" s="75"/>
      <c r="Z85" s="75"/>
      <c r="AA85" s="25" t="str">
        <f aca="false">IF(Tasks[[#This Row],[Task Name]]="","",IF(Tasks[[#This Row],[_IsSummary]],MIN(INDEX(Tasks[_ShownFcstStart],Tasks[[#This Row],[_Row]]+1):INDEX(Tasks[_ShownFcstStart],Tasks[[#This Row],[_Row]]+Tasks[[#This Row],[_Descendants]])),Tasks[[#This Row],[_ShownFcstStart]]))</f>
        <v/>
      </c>
      <c r="AB85" s="25" t="str">
        <f aca="false">IF(Tasks[[#This Row],[Task Name]]="","",IF(Tasks[[#This Row],[_IsSummary]],MAX(INDEX(Tasks[_ShownFcstFinish],Tasks[[#This Row],[_Row]]+1):INDEX(Tasks[_ShownFcstFinish],Tasks[[#This Row],[_Row]]+Tasks[[#This Row],[_Descendants]])),Tasks[[#This Row],[_ShownFcstFinish]]))</f>
        <v/>
      </c>
      <c r="AC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5" s="25" t="str">
        <f aca="false">IF(Tasks[[#This Row],[Task Name]]="","",IF(Tasks[[#This Row],[_IsSummary]],MIN(INDEX(Tasks[_LeafLateStart],Tasks[[#This Row],[_Row]]+1):INDEX(Tasks[_LeafLateStart],Tasks[[#This Row],[_Row]]+Tasks[[#This Row],[_Descendants]])),Tasks[[#This Row],[_LeafLateStart]]))</f>
        <v/>
      </c>
      <c r="AF85" s="25" t="str">
        <f aca="false">IF(Tasks[[#This Row],[Task Name]]="","",IF(Tasks[[#This Row],[_IsSummary]],MAX(INDEX(Tasks[_LeafLateFinish],Tasks[[#This Row],[_Row]]+1):INDEX(Tasks[_LeafLateFinish],Tasks[[#This Row],[_Row]]+Tasks[[#This Row],[_Descendants]])),Tasks[[#This Row],[_LeafLateFinish]]))</f>
        <v/>
      </c>
      <c r="AG85" s="28" t="str">
        <f aca="false">IF(Tasks[[#This Row],[Task Name]]="","",IF(Tasks[[#This Row],[_IsSummary]],MIN(INDEX(Tasks[_LeafTotalSlack],Tasks[[#This Row],[_Row]]+1):INDEX(Tasks[_LeafTotalSlack],Tasks[[#This Row],[_Row]]+Tasks[[#This Row],[_Descendants]])),Tasks[[#This Row],[_LeafTotalSlack]]))</f>
        <v/>
      </c>
      <c r="AH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5" s="28" t="str">
        <f aca="false">IF(Tasks[[#This Row],[Task Name]]="","",IF(IF(Tasks[[#This Row],[_IsSummary]],COUNTIF(INDEX(Tasks[_LeafCritical],Tasks[[#This Row],[_Row]]+1):INDEX(Tasks[_LeafCritical],Tasks[[#This Row],[_Row]]+Tasks[[#This Row],[_Descendants]]),TRUE())&gt;0,Tasks[[#This Row],[_LeafCritical]]),"Yes",""))</f>
        <v/>
      </c>
      <c r="AJ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5" s="89"/>
      <c r="AM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5" s="28" t="str">
        <f aca="false">IF(Tasks[[#This Row],[Task Name]]="","",IF(Tasks[[#This Row],[Progress]]&gt;=1,"Complete",IF(OR(N(Tasks[[#This Row],[Actual Start]])&gt;0,Tasks[[#This Row],[Progress]]&gt;0),IF(Tasks[[#This Row],[Finish Var]]&gt;0,"Behind","In Progress"),IF(Tasks[[#This Row],[Planned Start]]&lt;StatusDate,"Late Start","Not Started"))))</f>
        <v/>
      </c>
      <c r="AO85" s="30"/>
      <c r="AP85" s="89"/>
      <c r="AQ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5" s="96" t="str">
        <f aca="false">IF(Tasks[[#This Row],[Task Name]]="","",IF(Tasks[[#This Row],[_IsSummary]],SUM(INDEX(Tasks[_LeafTotalWork],Tasks[[#This Row],[_Row]]+1):INDEX(Tasks[_LeafTotalWork],Tasks[[#This Row],[_Row]]+Tasks[[#This Row],[_Descendants]])),Tasks[[#This Row],[_LeafTotalWork]]))</f>
        <v/>
      </c>
      <c r="AT85" s="97" t="str">
        <f aca="false">IF(Tasks[[#This Row],[Task Name]]="","",IF(Tasks[[#This Row],[_IsSummary]],SUM(INDEX(Tasks[_LeafTotalCost],Tasks[[#This Row],[_Row]]+1):INDEX(Tasks[_LeafTotalCost],Tasks[[#This Row],[_Row]]+Tasks[[#This Row],[_Descendants]])),Tasks[[#This Row],[_LeafTotalCost]]))</f>
        <v/>
      </c>
      <c r="AU85" s="98"/>
      <c r="AV85" s="29"/>
      <c r="AW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5" s="83"/>
      <c r="AY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5" s="30"/>
      <c r="BA85" s="25" t="str">
        <f aca="false">IF(Tasks[[#This Row],[Task Name]]="","",Tasks[[#This Row],[Forecast Start]])</f>
        <v/>
      </c>
      <c r="BB85" s="25" t="str">
        <f aca="false">IF(Tasks[[#This Row],[Task Name]]="","",Tasks[[#This Row],[Forecast Finish]])</f>
        <v/>
      </c>
      <c r="BC85" s="28" t="str">
        <f aca="false">IF(Tasks[[#This Row],[Task Name]]="","",IF(Tasks[[#This Row],[_IsSummary]],NETWORKDAYS.INTL(Tasks[[#This Row],[Forecast Start]],Tasks[[#This Row],[Forecast Finish]],WorkWeek,Holidays),N(Tasks[[#This Row],[Duration]])))</f>
        <v/>
      </c>
      <c r="BD85" s="96" t="str">
        <f aca="false">IF(Tasks[[#This Row],[Task Name]]="","",Tasks[[#This Row],[Work]])</f>
        <v/>
      </c>
      <c r="BE85" s="97" t="str">
        <f aca="false">IF(Tasks[[#This Row],[Task Name]]="","",Tasks[[#This Row],[Cost]])</f>
        <v/>
      </c>
      <c r="BF85" s="75"/>
      <c r="BG85" s="75"/>
      <c r="BH85" s="29"/>
      <c r="BI85" s="99"/>
      <c r="BJ85" s="98"/>
      <c r="BK85" s="28" t="str">
        <f aca="false">IF(OR(Tasks[[#This Row],[Task Name]]="",Tasks[[#This Row],[Baseline Duration]]=""),"",Tasks[[#This Row],[BL Source Duration]]-N(Tasks[[#This Row],[Baseline Duration]]))</f>
        <v/>
      </c>
      <c r="BL85" s="96" t="str">
        <f aca="false">IF(OR(Tasks[[#This Row],[Task Name]]="",Tasks[[#This Row],[Baseline Work]]=""),"",Tasks[[#This Row],[Work]]-N(Tasks[[#This Row],[Baseline Work]]))</f>
        <v/>
      </c>
      <c r="BM85" s="97" t="str">
        <f aca="false">IF(OR(Tasks[[#This Row],[Task Name]]="",Tasks[[#This Row],[Baseline Cost]]=""),"",Tasks[[#This Row],[Cost]]-N(Tasks[[#This Row],[Baseline Cost]]))</f>
        <v/>
      </c>
      <c r="BN85" s="97" t="str">
        <f aca="false">IF(Tasks[[#This Row],[Task Name]]="","",IF(Tasks[[#This Row],[_IsSummary]],SUM(INDEX(Tasks[_LeafBudget],Tasks[[#This Row],[_Row]]+1):INDEX(Tasks[_LeafBudget],Tasks[[#This Row],[_Row]]+Tasks[[#This Row],[_Descendants]])),Tasks[[#This Row],[_LeafBudget]]))</f>
        <v/>
      </c>
      <c r="BO85" s="97" t="str">
        <f aca="false">IF(Tasks[[#This Row],[Task Name]]="","",IF(Tasks[[#This Row],[_IsSummary]],SUM(INDEX(Tasks[_LeafPV],Tasks[[#This Row],[_Row]]+1):INDEX(Tasks[_LeafPV],Tasks[[#This Row],[_Row]]+Tasks[[#This Row],[_Descendants]])),Tasks[[#This Row],[_LeafPV]]))</f>
        <v/>
      </c>
      <c r="BP85" s="97" t="str">
        <f aca="false">IF(Tasks[[#This Row],[Task Name]]="","",IF(Tasks[[#This Row],[_IsSummary]],SUM(INDEX(Tasks[_LeafEV],Tasks[[#This Row],[_Row]]+1):INDEX(Tasks[_LeafEV],Tasks[[#This Row],[_Row]]+Tasks[[#This Row],[_Descendants]])),Tasks[[#This Row],[_LeafEV]]))</f>
        <v/>
      </c>
      <c r="BQ85" s="97" t="str">
        <f aca="false">IF(Tasks[[#This Row],[Task Name]]="","",IF(Tasks[[#This Row],[_IsSummary]],SUM(INDEX(Tasks[_LeafAC],Tasks[[#This Row],[_Row]]+1):INDEX(Tasks[_LeafAC],Tasks[[#This Row],[_Row]]+Tasks[[#This Row],[_Descendants]])),Tasks[[#This Row],[_LeafAC]]))</f>
        <v/>
      </c>
      <c r="BR85" s="41" t="str">
        <f aca="false">IF(Tasks[[#This Row],[Task Name]]="","",MAX(1,N(Tasks[[#This Row],[Level]])))</f>
        <v/>
      </c>
      <c r="BS85" s="41" t="n">
        <f aca="false">ROW()-ROW(Tasks[[#Headers],[ID]])</f>
        <v>80</v>
      </c>
      <c r="BT85" s="41" t="n">
        <f aca="false">IF(OR(Tasks[[#This Row],[Task Name]]="",Tasks[[#This Row],[_Level]]&lt;=1),0,IFERROR(LOOKUP(2,1/(Tasks[[#Headers],[_Level]]:Tasks[[#This Row],[_Level]]=Tasks[[#This Row],[_Level]]-1),ROW(Tasks[[#Headers],[_Level]]:Tasks[[#This Row],[_Level]])),0))</f>
        <v>0</v>
      </c>
      <c r="BU85" s="41" t="n">
        <f aca="false">IFERROR(N(INDEX(Tasks[_Level],Tasks[[#This Row],[_Row]]+1)),0)</f>
        <v>0</v>
      </c>
      <c r="BV85" s="100" t="b">
        <f aca="false">AND(Tasks[[#This Row],[Task Name]]&lt;&gt;"",Tasks[[#This Row],[_NextLevel]]&gt;Tasks[[#This Row],[_Level]])</f>
        <v>0</v>
      </c>
      <c r="BW85" s="41" t="n">
        <f aca="false">IF(Tasks[[#This Row],[_IsSummary]],COUNTIF(Tasks[WBS],Tasks[[#This Row],[WBS]]&amp;".*"),0)</f>
        <v>0</v>
      </c>
      <c r="BX85" s="41" t="n">
        <f aca="false">IF(AND(Tasks[[#This Row],[Task Name]]&lt;&gt;"",NOT(Tasks[[#This Row],[_IsSummary]])),1,0)</f>
        <v>0</v>
      </c>
      <c r="BY85" s="41" t="n">
        <f aca="false">IF(N(Tasks[[#This Row],[Pred1 UID]])=0,0,IFERROR(MATCH(Tasks[[#This Row],[Pred1 UID]],Tasks[UID],0),-1))</f>
        <v>0</v>
      </c>
      <c r="BZ85" s="41" t="n">
        <f aca="false">IF(N(Tasks[[#This Row],[Pred2 UID]])=0,0,IFERROR(MATCH(Tasks[[#This Row],[Pred2 UID]],Tasks[UID],0),-1))</f>
        <v>0</v>
      </c>
      <c r="CA85" s="41" t="n">
        <f aca="false">IF(N(Tasks[[#This Row],[Pred3 UID]])=0,0,IFERROR(MATCH(Tasks[[#This Row],[Pred3 UID]],Tasks[UID],0),-1))</f>
        <v>0</v>
      </c>
      <c r="CB85" s="41" t="n">
        <f aca="false">IF(N(Tasks[[#This Row],[Pred4 UID]])=0,0,IFERROR(MATCH(Tasks[[#This Row],[Pred4 UID]],Tasks[UID],0),-1))</f>
        <v>0</v>
      </c>
      <c r="CC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5" s="101" t="n">
        <f aca="false">IF(OR(Tasks[[#This Row],[_ConstraintCode]]=2,Tasks[[#This Row],[_ConstraintCode]]=3,Tasks[[#This Row],[_ConstraintCode]]=4,Tasks[[#This Row],[_ConstraintCode]]=6),Tasks[[#This Row],[_ConstraintStart]],0)</f>
        <v>0</v>
      </c>
      <c r="CF85" s="101" t="n">
        <f aca="false">IF(OR(Tasks[[#This Row],[_ConstraintCode]]=2,Tasks[[#This Row],[_ConstraintCode]]=3,Tasks[[#This Row],[_ConstraintCode]]=5,Tasks[[#This Row],[_ConstraintCode]]=7),Tasks[[#This Row],[_ConstraintStart]],2958465)</f>
        <v>2958465</v>
      </c>
      <c r="CG8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5" s="101" t="str">
        <f aca="false">IF(NOT(Tasks[[#This Row],[_IsLeaf]]=1),"",IF(N(Tasks[[#This Row],[Duration]])&lt;=0,Tasks[[#This Row],[_LeafCalcStart]],WORKDAY.INTL(Tasks[[#This Row],[_LeafCalcStart]],Tasks[[#This Row],[Duration]]-1,WorkWeek,Holidays)))</f>
        <v/>
      </c>
      <c r="CI8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5" s="41" t="n">
        <f aca="false">IF(NOT(Tasks[[#This Row],[_IsLeaf]]=1),0,IF(N(Tasks[[#This Row],[Actual Finish]])&gt;0,1,MIN(1,N(Tasks[[#This Row],[% Complete]]))))</f>
        <v>0</v>
      </c>
      <c r="CL85" s="41" t="n">
        <f aca="false">IF(OR(NOT(Tasks[[#This Row],[_IsLeaf]]=1),Tasks[[#This Row],[Resource]]=""),0,N(Tasks[[#This Row],[Duration]])*HoursPerDay*IF(Tasks[[#This Row],[Units]]="",DefaultUnits,Tasks[[#This Row],[Units]]))</f>
        <v>0</v>
      </c>
      <c r="CM85" s="41" t="n">
        <f aca="false">IF(Tasks[[#This Row],[_LeafWork]]=0,0,Tasks[[#This Row],[_LeafWork]]*IFERROR(INDEX(res_Rate,MATCH(Tasks[[#This Row],[Resource]],res_Name,0)),0))</f>
        <v>0</v>
      </c>
      <c r="CN85" s="41" t="n">
        <f aca="false">Tasks[[#This Row],[_LeafWork]]+IF(Tasks[[#This Row],[_IsLeaf]]=1,SUMIFS(asg_Work,asg_TaskUID,Tasks[[#This Row],[UID]],asg_Valid,1),0)</f>
        <v>0</v>
      </c>
      <c r="CO85" s="41" t="n">
        <f aca="false">Tasks[[#This Row],[_LeafCost]]+IF(Tasks[[#This Row],[_IsLeaf]]=1,SUMIFS(asg_Cost,asg_TaskUID,Tasks[[#This Row],[UID]],asg_Valid,1),0)</f>
        <v>0</v>
      </c>
      <c r="CP85" s="41" t="n">
        <f aca="false">IF(Tasks[[#This Row],[_LeafTotalCost]]=0,Tasks[[#This Row],[_LeafAC]],Tasks[[#This Row],[_LeafAC]]*Tasks[[#This Row],[_LeafCost]]/Tasks[[#This Row],[_LeafTotalCost]])</f>
        <v>0</v>
      </c>
      <c r="CQ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5" s="41" t="n">
        <f aca="false">IF(NOT(Tasks[[#This Row],[_IsLeaf]]=1),0,MAX(_xlfn.MAXIFS(Tasks[_Row],Tasks[Pred1 UID],Tasks[[#This Row],[UID]]),_xlfn.MAXIFS(Tasks[_Row],Tasks[Pred2 UID],Tasks[[#This Row],[UID]]),_xlfn.MAXIFS(Tasks[_Row],Tasks[Pred3 UID],Tasks[[#This Row],[UID]]),_xlfn.MAXIFS(Tasks[_Row],Tasks[Pred4 UID],Tasks[[#This Row],[UID]])))</f>
        <v>0</v>
      </c>
      <c r="CZ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5" s="101" t="str">
        <f aca="false">IF(NOT(Tasks[[#This Row],[_IsLeaf]]=1),"",IF(N(Tasks[[#This Row],[Duration]])&lt;=0,Tasks[[#This Row],[_LeafLateFinish]],WORKDAY.INTL(Tasks[[#This Row],[_LeafLateFinish]],-(Tasks[[#This Row],[Duration]]-1),WorkWeek,Holidays)))</f>
        <v/>
      </c>
      <c r="DC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5" s="100" t="b">
        <f aca="false">AND(Tasks[[#This Row],[_IsLeaf]]=1,Tasks[[#This Row],[_LeafProgress]]&lt;1,N(Tasks[[#This Row],[_LeafTotalSlack]])&lt;=CriticalSlackDays)</f>
        <v>0</v>
      </c>
      <c r="DE85" s="41" t="n">
        <f aca="false">IF(AND(Tasks[[#This Row],[_IsLeaf]]=1,Tasks[[#This Row],[_ConstraintCode]]=1,Tasks[[#This Row],[Mode]]&lt;&gt;"Manual",N(Tasks[[#This Row],[Actual Start]])=0),MAX(0,N(Tasks[[#This Row],[Free Slack]])),0)</f>
        <v>0</v>
      </c>
      <c r="DF85" s="101" t="str">
        <f aca="false">IF(NOT(Tasks[[#This Row],[_IsLeaf]]=1),"",IF(Tasks[[#This Row],[_AlapShift]]=0,Tasks[[#This Row],[_LeafCalcStart]],WORKDAY.INTL(Tasks[[#This Row],[_LeafCalcStart]],Tasks[[#This Row],[_AlapShift]],WorkWeek,Holidays)))</f>
        <v/>
      </c>
      <c r="DG85" s="101" t="str">
        <f aca="false">IF(NOT(Tasks[[#This Row],[_IsLeaf]]=1),"",IF(Tasks[[#This Row],[_AlapShift]]=0,Tasks[[#This Row],[_LeafCalcFinish]],WORKDAY.INTL(Tasks[[#This Row],[_LeafCalcFinish]],Tasks[[#This Row],[_AlapShift]],WorkWeek,Holidays)))</f>
        <v/>
      </c>
      <c r="DH85" s="101" t="str">
        <f aca="false">IF(NOT(Tasks[[#This Row],[_IsLeaf]]=1),"",IF(Tasks[[#This Row],[_AlapShift]]=0,Tasks[[#This Row],[_LeafFcstStart]],WORKDAY.INTL(Tasks[[#This Row],[_LeafFcstStart]],Tasks[[#This Row],[_AlapShift]],WorkWeek,Holidays)))</f>
        <v/>
      </c>
      <c r="DI85" s="101" t="str">
        <f aca="false">IF(NOT(Tasks[[#This Row],[_IsLeaf]]=1),"",IF(Tasks[[#This Row],[_AlapShift]]=0,Tasks[[#This Row],[_LeafFcstFinish]],WORKDAY.INTL(Tasks[[#This Row],[_LeafFcstFinish]],Tasks[[#This Row],[_AlapShift]],WorkWeek,Holidays)))</f>
        <v/>
      </c>
      <c r="DJ85" s="101" t="str">
        <f aca="false">IF(Tasks[[#This Row],[Task Name]]="","",IF(Tasks[[#This Row],[_IsSummary]],MIN(INDEX(Tasks[_ShownCalcStart],Tasks[[#This Row],[_Row]]+1):INDEX(Tasks[_ShownCalcStart],Tasks[[#This Row],[_Row]]+Tasks[[#This Row],[_Descendants]])),Tasks[[#This Row],[_ShownCalcStart]]))</f>
        <v/>
      </c>
      <c r="DK85" s="101" t="str">
        <f aca="false">IF(Tasks[[#This Row],[Task Name]]="","",IF(Tasks[[#This Row],[_IsSummary]],MAX(INDEX(Tasks[_ShownCalcFinish],Tasks[[#This Row],[_Row]]+1):INDEX(Tasks[_ShownCalcFinish],Tasks[[#This Row],[_Row]]+Tasks[[#This Row],[_Descendants]])),Tasks[[#This Row],[_ShownCalcFinish]]))</f>
        <v/>
      </c>
      <c r="D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5" s="41" t="n">
        <f aca="false">IF(AND(Tasks[[#This Row],[_IsLeaf]]=1,Tasks[[#This Row],[_LeafTotalWork]]&gt;0),NETWORKDAYS.INTL(ProjectStart,Tasks[[#This Row],[_ShownFcstStart]],WorkWeek,Holidays),0)</f>
        <v>0</v>
      </c>
      <c r="DY85" s="41" t="n">
        <f aca="false">IF(AND(Tasks[[#This Row],[_IsLeaf]]=1,Tasks[[#This Row],[_LeafTotalWork]]&gt;0),MAX(Tasks[[#This Row],[_StartWorkday]],NETWORKDAYS.INTL(ProjectStart,Tasks[[#This Row],[_ShownFcstFinish]],WorkWeek,Holidays)),0)</f>
        <v>0</v>
      </c>
      <c r="DZ85" s="41" t="n">
        <f aca="false">IF(AND(Tasks[[#This Row],[_IsLeaf]]=1,Tasks[[#This Row],[_LeafTotalWork]]&gt;0),Tasks[[#This Row],[_LeafWork]]/(Tasks[[#This Row],[_FinishWorkday]]-Tasks[[#This Row],[_StartWorkday]]+1),0)</f>
        <v>0</v>
      </c>
      <c r="EA85" s="41" t="n">
        <f aca="false">Tasks[[#This Row],[_WorkPerWorkday]]*(Tasks[[#This Row],[_StartWorkday]]-1)</f>
        <v>-0</v>
      </c>
      <c r="EB85" s="41" t="n">
        <f aca="false">IF(Tasks[[#This Row],[_IsLeaf]]=1,MAX(N(Tasks[[#This Row],[Duration]]),0.1),0)</f>
        <v>0</v>
      </c>
      <c r="EC85" s="41" t="n">
        <f aca="false">Tasks[[#This Row],[_WeightDur]]*Tasks[[#This Row],[_LeafProgress]]</f>
        <v>0</v>
      </c>
      <c r="ED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5" s="41" t="str">
        <f aca="false">IF(AND(Tasks[[#This Row],[_IsLeaf]]=1,N(Tasks[[#This Row],[Duration]])=0,Tasks[[#This Row],[_LeafProgress]]&lt;1),Tasks[[#This Row],[_ShownFcstFinish]]+Tasks[[#This Row],[_Row]]/100000,"")</f>
        <v/>
      </c>
      <c r="EF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5" s="41" t="n">
        <f aca="false">IF(NOT(Tasks[[#This Row],[_IsLeaf]]=1),0,IF(Tasks[[#This Row],[Baseline Cost]]="",Tasks[[#This Row],[_LeafTotalCost]],N(Tasks[[#This Row],[Baseline Cost]])))</f>
        <v>0</v>
      </c>
      <c r="EH85" s="41" t="n">
        <f aca="false">Tasks[[#This Row],[_LeafBudget]]*Tasks[[#This Row],[_PlannedPct]]</f>
        <v>0</v>
      </c>
      <c r="EI85" s="41" t="n">
        <f aca="false">Tasks[[#This Row],[_LeafBudget]]*Tasks[[#This Row],[_LeafProgress]]</f>
        <v>0</v>
      </c>
      <c r="EJ85" s="41" t="n">
        <f aca="false">IF(NOT(Tasks[[#This Row],[_IsLeaf]]=1),0,IF(Tasks[[#This Row],[Actual Cost]]="",Tasks[[#This Row],[_LeafTotalCost]]*Tasks[[#This Row],[_LeafProgress]],N(Tasks[[#This Row],[Actual Cost]])))</f>
        <v>0</v>
      </c>
      <c r="EK85" s="41" t="str">
        <f aca="false">IF(Tasks[[#This Row],[Task Name]]="","",LEFT(Tasks[[#This Row],[WBS]],FIND(".",Tasks[[#This Row],[WBS]]&amp;".")-1))</f>
        <v/>
      </c>
      <c r="EL85" s="41" t="str">
        <f aca="false">IF(AND(Tasks[[#This Row],[Task Name]]&lt;&gt;"",Tasks[[#This Row],[_Level]]=1),Tasks[[#This Row],[_Row]],"")</f>
        <v/>
      </c>
      <c r="EM85" s="41" t="str">
        <f aca="false">IF(AND(Tasks[[#This Row],[_IsLeaf]]=1,N(Tasks[[#This Row],[Duration]])=0),Tasks[[#This Row],[Planned Finish]]+Tasks[[#This Row],[_Row]]/100000,"")</f>
        <v/>
      </c>
      <c r="EN85" s="41" t="str">
        <f aca="false">IF(AND(Tasks[[#This Row],[_IsLeaf]]=1,Tasks[[#This Row],[_LeafProgress]]&lt;1,OR(N(Tasks[[#This Row],[Finish Var]])&gt;0,Tasks[[#This Row],[Status]]="Late Start")),MAX(0,Tasks[[#This Row],[Finish Var]])+1-Tasks[[#This Row],[_Row]]/1000000,"")</f>
        <v/>
      </c>
      <c r="EO85" s="41" t="str">
        <f aca="false">IF(AND(Tasks[[#This Row],[_IsLeaf]]=1,N(Tasks[[#This Row],[Actual Start]])=0,Tasks[[#This Row],[_ShownFcstStart]]&gt;=StatusDate,Tasks[[#This Row],[_ShownFcstStart]]&lt;=LookaheadEnd),Tasks[[#This Row],[_ShownFcstStart]]+Tasks[[#This Row],[_Row]]/100000,"")</f>
        <v/>
      </c>
      <c r="EP85" s="41" t="str">
        <f aca="false">IF(AND(Tasks[[#This Row],[_IsLeaf]]=1,Tasks[[#This Row],[_LeafProgress]]&lt;1,Tasks[[#This Row],[_ShownFcstFinish]]&gt;=StatusDate,Tasks[[#This Row],[_ShownFcstFinish]]&lt;=LookaheadEnd),Tasks[[#This Row],[_ShownFcstFinish]]+Tasks[[#This Row],[_Row]]/100000,"")</f>
        <v/>
      </c>
      <c r="EQ85" s="41" t="str">
        <f aca="false">IF(Tasks[[#This Row],[_LeafCritical]],Tasks[[#This Row],[_ShownFcstStart]]+Tasks[[#This Row],[_Row]]/100000,"")</f>
        <v/>
      </c>
      <c r="ER85" s="41" t="n">
        <f aca="false">Tasks[[#This Row],[_LeafWork]]*Tasks[[#This Row],[_LeafProgress]]</f>
        <v>0</v>
      </c>
      <c r="ES85" s="101" t="str">
        <f aca="false">IF(AND(Tasks[[#This Row],[_IsLeaf]]=1,Tasks[[#This Row],[_LeafProgress]]&gt;=1),IF(N(Tasks[[#This Row],[Actual Finish]])&gt;0,Tasks[[#This Row],[Actual Finish]],Tasks[[#This Row],[_ShownFcstFinish]]),"")</f>
        <v/>
      </c>
      <c r="ET85" s="41" t="n">
        <f aca="false">IF(Tasks[[#This Row],[_IsLeaf]]=1,N(Tasks[[#This Row],[Story Points]]),0)</f>
        <v>0</v>
      </c>
      <c r="EU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29"/>
      <c r="O86" s="29"/>
      <c r="P86" s="29"/>
      <c r="Q86" s="29"/>
      <c r="R86" s="29"/>
      <c r="S86" s="29"/>
      <c r="T86" s="30"/>
      <c r="U86" s="75"/>
      <c r="V86" s="75"/>
      <c r="W86" s="25" t="str">
        <f aca="false">IF(Tasks[[#This Row],[Task Name]]="","",IF(N(Tasks[[#This Row],[Baseline Start]])&gt;0,Tasks[[#This Row],[Baseline Start]],Tasks[[#This Row],[_CalcStart]]))</f>
        <v/>
      </c>
      <c r="X86" s="25" t="str">
        <f aca="false">IF(Tasks[[#This Row],[Task Name]]="","",IF(N(Tasks[[#This Row],[Baseline Finish]])&gt;0,Tasks[[#This Row],[Baseline Finish]],Tasks[[#This Row],[_CalcFinish]]))</f>
        <v/>
      </c>
      <c r="Y86" s="75"/>
      <c r="Z86" s="75"/>
      <c r="AA86" s="25" t="str">
        <f aca="false">IF(Tasks[[#This Row],[Task Name]]="","",IF(Tasks[[#This Row],[_IsSummary]],MIN(INDEX(Tasks[_ShownFcstStart],Tasks[[#This Row],[_Row]]+1):INDEX(Tasks[_ShownFcstStart],Tasks[[#This Row],[_Row]]+Tasks[[#This Row],[_Descendants]])),Tasks[[#This Row],[_ShownFcstStart]]))</f>
        <v/>
      </c>
      <c r="AB86" s="25" t="str">
        <f aca="false">IF(Tasks[[#This Row],[Task Name]]="","",IF(Tasks[[#This Row],[_IsSummary]],MAX(INDEX(Tasks[_ShownFcstFinish],Tasks[[#This Row],[_Row]]+1):INDEX(Tasks[_ShownFcstFinish],Tasks[[#This Row],[_Row]]+Tasks[[#This Row],[_Descendants]])),Tasks[[#This Row],[_ShownFcstFinish]]))</f>
        <v/>
      </c>
      <c r="AC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6" s="25" t="str">
        <f aca="false">IF(Tasks[[#This Row],[Task Name]]="","",IF(Tasks[[#This Row],[_IsSummary]],MIN(INDEX(Tasks[_LeafLateStart],Tasks[[#This Row],[_Row]]+1):INDEX(Tasks[_LeafLateStart],Tasks[[#This Row],[_Row]]+Tasks[[#This Row],[_Descendants]])),Tasks[[#This Row],[_LeafLateStart]]))</f>
        <v/>
      </c>
      <c r="AF86" s="25" t="str">
        <f aca="false">IF(Tasks[[#This Row],[Task Name]]="","",IF(Tasks[[#This Row],[_IsSummary]],MAX(INDEX(Tasks[_LeafLateFinish],Tasks[[#This Row],[_Row]]+1):INDEX(Tasks[_LeafLateFinish],Tasks[[#This Row],[_Row]]+Tasks[[#This Row],[_Descendants]])),Tasks[[#This Row],[_LeafLateFinish]]))</f>
        <v/>
      </c>
      <c r="AG86" s="28" t="str">
        <f aca="false">IF(Tasks[[#This Row],[Task Name]]="","",IF(Tasks[[#This Row],[_IsSummary]],MIN(INDEX(Tasks[_LeafTotalSlack],Tasks[[#This Row],[_Row]]+1):INDEX(Tasks[_LeafTotalSlack],Tasks[[#This Row],[_Row]]+Tasks[[#This Row],[_Descendants]])),Tasks[[#This Row],[_LeafTotalSlack]]))</f>
        <v/>
      </c>
      <c r="AH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6" s="28" t="str">
        <f aca="false">IF(Tasks[[#This Row],[Task Name]]="","",IF(IF(Tasks[[#This Row],[_IsSummary]],COUNTIF(INDEX(Tasks[_LeafCritical],Tasks[[#This Row],[_Row]]+1):INDEX(Tasks[_LeafCritical],Tasks[[#This Row],[_Row]]+Tasks[[#This Row],[_Descendants]]),TRUE())&gt;0,Tasks[[#This Row],[_LeafCritical]]),"Yes",""))</f>
        <v/>
      </c>
      <c r="AJ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6" s="89"/>
      <c r="AM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6" s="28" t="str">
        <f aca="false">IF(Tasks[[#This Row],[Task Name]]="","",IF(Tasks[[#This Row],[Progress]]&gt;=1,"Complete",IF(OR(N(Tasks[[#This Row],[Actual Start]])&gt;0,Tasks[[#This Row],[Progress]]&gt;0),IF(Tasks[[#This Row],[Finish Var]]&gt;0,"Behind","In Progress"),IF(Tasks[[#This Row],[Planned Start]]&lt;StatusDate,"Late Start","Not Started"))))</f>
        <v/>
      </c>
      <c r="AO86" s="30"/>
      <c r="AP86" s="89"/>
      <c r="AQ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6" s="96" t="str">
        <f aca="false">IF(Tasks[[#This Row],[Task Name]]="","",IF(Tasks[[#This Row],[_IsSummary]],SUM(INDEX(Tasks[_LeafTotalWork],Tasks[[#This Row],[_Row]]+1):INDEX(Tasks[_LeafTotalWork],Tasks[[#This Row],[_Row]]+Tasks[[#This Row],[_Descendants]])),Tasks[[#This Row],[_LeafTotalWork]]))</f>
        <v/>
      </c>
      <c r="AT86" s="97" t="str">
        <f aca="false">IF(Tasks[[#This Row],[Task Name]]="","",IF(Tasks[[#This Row],[_IsSummary]],SUM(INDEX(Tasks[_LeafTotalCost],Tasks[[#This Row],[_Row]]+1):INDEX(Tasks[_LeafTotalCost],Tasks[[#This Row],[_Row]]+Tasks[[#This Row],[_Descendants]])),Tasks[[#This Row],[_LeafTotalCost]]))</f>
        <v/>
      </c>
      <c r="AU86" s="98"/>
      <c r="AV86" s="29"/>
      <c r="AW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6" s="83"/>
      <c r="AY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6" s="30"/>
      <c r="BA86" s="25" t="str">
        <f aca="false">IF(Tasks[[#This Row],[Task Name]]="","",Tasks[[#This Row],[Forecast Start]])</f>
        <v/>
      </c>
      <c r="BB86" s="25" t="str">
        <f aca="false">IF(Tasks[[#This Row],[Task Name]]="","",Tasks[[#This Row],[Forecast Finish]])</f>
        <v/>
      </c>
      <c r="BC86" s="28" t="str">
        <f aca="false">IF(Tasks[[#This Row],[Task Name]]="","",IF(Tasks[[#This Row],[_IsSummary]],NETWORKDAYS.INTL(Tasks[[#This Row],[Forecast Start]],Tasks[[#This Row],[Forecast Finish]],WorkWeek,Holidays),N(Tasks[[#This Row],[Duration]])))</f>
        <v/>
      </c>
      <c r="BD86" s="96" t="str">
        <f aca="false">IF(Tasks[[#This Row],[Task Name]]="","",Tasks[[#This Row],[Work]])</f>
        <v/>
      </c>
      <c r="BE86" s="97" t="str">
        <f aca="false">IF(Tasks[[#This Row],[Task Name]]="","",Tasks[[#This Row],[Cost]])</f>
        <v/>
      </c>
      <c r="BF86" s="75"/>
      <c r="BG86" s="75"/>
      <c r="BH86" s="29"/>
      <c r="BI86" s="99"/>
      <c r="BJ86" s="98"/>
      <c r="BK86" s="28" t="str">
        <f aca="false">IF(OR(Tasks[[#This Row],[Task Name]]="",Tasks[[#This Row],[Baseline Duration]]=""),"",Tasks[[#This Row],[BL Source Duration]]-N(Tasks[[#This Row],[Baseline Duration]]))</f>
        <v/>
      </c>
      <c r="BL86" s="96" t="str">
        <f aca="false">IF(OR(Tasks[[#This Row],[Task Name]]="",Tasks[[#This Row],[Baseline Work]]=""),"",Tasks[[#This Row],[Work]]-N(Tasks[[#This Row],[Baseline Work]]))</f>
        <v/>
      </c>
      <c r="BM86" s="97" t="str">
        <f aca="false">IF(OR(Tasks[[#This Row],[Task Name]]="",Tasks[[#This Row],[Baseline Cost]]=""),"",Tasks[[#This Row],[Cost]]-N(Tasks[[#This Row],[Baseline Cost]]))</f>
        <v/>
      </c>
      <c r="BN86" s="97" t="str">
        <f aca="false">IF(Tasks[[#This Row],[Task Name]]="","",IF(Tasks[[#This Row],[_IsSummary]],SUM(INDEX(Tasks[_LeafBudget],Tasks[[#This Row],[_Row]]+1):INDEX(Tasks[_LeafBudget],Tasks[[#This Row],[_Row]]+Tasks[[#This Row],[_Descendants]])),Tasks[[#This Row],[_LeafBudget]]))</f>
        <v/>
      </c>
      <c r="BO86" s="97" t="str">
        <f aca="false">IF(Tasks[[#This Row],[Task Name]]="","",IF(Tasks[[#This Row],[_IsSummary]],SUM(INDEX(Tasks[_LeafPV],Tasks[[#This Row],[_Row]]+1):INDEX(Tasks[_LeafPV],Tasks[[#This Row],[_Row]]+Tasks[[#This Row],[_Descendants]])),Tasks[[#This Row],[_LeafPV]]))</f>
        <v/>
      </c>
      <c r="BP86" s="97" t="str">
        <f aca="false">IF(Tasks[[#This Row],[Task Name]]="","",IF(Tasks[[#This Row],[_IsSummary]],SUM(INDEX(Tasks[_LeafEV],Tasks[[#This Row],[_Row]]+1):INDEX(Tasks[_LeafEV],Tasks[[#This Row],[_Row]]+Tasks[[#This Row],[_Descendants]])),Tasks[[#This Row],[_LeafEV]]))</f>
        <v/>
      </c>
      <c r="BQ86" s="97" t="str">
        <f aca="false">IF(Tasks[[#This Row],[Task Name]]="","",IF(Tasks[[#This Row],[_IsSummary]],SUM(INDEX(Tasks[_LeafAC],Tasks[[#This Row],[_Row]]+1):INDEX(Tasks[_LeafAC],Tasks[[#This Row],[_Row]]+Tasks[[#This Row],[_Descendants]])),Tasks[[#This Row],[_LeafAC]]))</f>
        <v/>
      </c>
      <c r="BR86" s="41" t="str">
        <f aca="false">IF(Tasks[[#This Row],[Task Name]]="","",MAX(1,N(Tasks[[#This Row],[Level]])))</f>
        <v/>
      </c>
      <c r="BS86" s="41" t="n">
        <f aca="false">ROW()-ROW(Tasks[[#Headers],[ID]])</f>
        <v>81</v>
      </c>
      <c r="BT86" s="41" t="n">
        <f aca="false">IF(OR(Tasks[[#This Row],[Task Name]]="",Tasks[[#This Row],[_Level]]&lt;=1),0,IFERROR(LOOKUP(2,1/(Tasks[[#Headers],[_Level]]:Tasks[[#This Row],[_Level]]=Tasks[[#This Row],[_Level]]-1),ROW(Tasks[[#Headers],[_Level]]:Tasks[[#This Row],[_Level]])),0))</f>
        <v>0</v>
      </c>
      <c r="BU86" s="41" t="n">
        <f aca="false">IFERROR(N(INDEX(Tasks[_Level],Tasks[[#This Row],[_Row]]+1)),0)</f>
        <v>0</v>
      </c>
      <c r="BV86" s="100" t="b">
        <f aca="false">AND(Tasks[[#This Row],[Task Name]]&lt;&gt;"",Tasks[[#This Row],[_NextLevel]]&gt;Tasks[[#This Row],[_Level]])</f>
        <v>0</v>
      </c>
      <c r="BW86" s="41" t="n">
        <f aca="false">IF(Tasks[[#This Row],[_IsSummary]],COUNTIF(Tasks[WBS],Tasks[[#This Row],[WBS]]&amp;".*"),0)</f>
        <v>0</v>
      </c>
      <c r="BX86" s="41" t="n">
        <f aca="false">IF(AND(Tasks[[#This Row],[Task Name]]&lt;&gt;"",NOT(Tasks[[#This Row],[_IsSummary]])),1,0)</f>
        <v>0</v>
      </c>
      <c r="BY86" s="41" t="n">
        <f aca="false">IF(N(Tasks[[#This Row],[Pred1 UID]])=0,0,IFERROR(MATCH(Tasks[[#This Row],[Pred1 UID]],Tasks[UID],0),-1))</f>
        <v>0</v>
      </c>
      <c r="BZ86" s="41" t="n">
        <f aca="false">IF(N(Tasks[[#This Row],[Pred2 UID]])=0,0,IFERROR(MATCH(Tasks[[#This Row],[Pred2 UID]],Tasks[UID],0),-1))</f>
        <v>0</v>
      </c>
      <c r="CA86" s="41" t="n">
        <f aca="false">IF(N(Tasks[[#This Row],[Pred3 UID]])=0,0,IFERROR(MATCH(Tasks[[#This Row],[Pred3 UID]],Tasks[UID],0),-1))</f>
        <v>0</v>
      </c>
      <c r="CB86" s="41" t="n">
        <f aca="false">IF(N(Tasks[[#This Row],[Pred4 UID]])=0,0,IFERROR(MATCH(Tasks[[#This Row],[Pred4 UID]],Tasks[UID],0),-1))</f>
        <v>0</v>
      </c>
      <c r="CC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6" s="101" t="n">
        <f aca="false">IF(OR(Tasks[[#This Row],[_ConstraintCode]]=2,Tasks[[#This Row],[_ConstraintCode]]=3,Tasks[[#This Row],[_ConstraintCode]]=4,Tasks[[#This Row],[_ConstraintCode]]=6),Tasks[[#This Row],[_ConstraintStart]],0)</f>
        <v>0</v>
      </c>
      <c r="CF86" s="101" t="n">
        <f aca="false">IF(OR(Tasks[[#This Row],[_ConstraintCode]]=2,Tasks[[#This Row],[_ConstraintCode]]=3,Tasks[[#This Row],[_ConstraintCode]]=5,Tasks[[#This Row],[_ConstraintCode]]=7),Tasks[[#This Row],[_ConstraintStart]],2958465)</f>
        <v>2958465</v>
      </c>
      <c r="CG8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6" s="101" t="str">
        <f aca="false">IF(NOT(Tasks[[#This Row],[_IsLeaf]]=1),"",IF(N(Tasks[[#This Row],[Duration]])&lt;=0,Tasks[[#This Row],[_LeafCalcStart]],WORKDAY.INTL(Tasks[[#This Row],[_LeafCalcStart]],Tasks[[#This Row],[Duration]]-1,WorkWeek,Holidays)))</f>
        <v/>
      </c>
      <c r="CI8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6" s="41" t="n">
        <f aca="false">IF(NOT(Tasks[[#This Row],[_IsLeaf]]=1),0,IF(N(Tasks[[#This Row],[Actual Finish]])&gt;0,1,MIN(1,N(Tasks[[#This Row],[% Complete]]))))</f>
        <v>0</v>
      </c>
      <c r="CL86" s="41" t="n">
        <f aca="false">IF(OR(NOT(Tasks[[#This Row],[_IsLeaf]]=1),Tasks[[#This Row],[Resource]]=""),0,N(Tasks[[#This Row],[Duration]])*HoursPerDay*IF(Tasks[[#This Row],[Units]]="",DefaultUnits,Tasks[[#This Row],[Units]]))</f>
        <v>0</v>
      </c>
      <c r="CM86" s="41" t="n">
        <f aca="false">IF(Tasks[[#This Row],[_LeafWork]]=0,0,Tasks[[#This Row],[_LeafWork]]*IFERROR(INDEX(res_Rate,MATCH(Tasks[[#This Row],[Resource]],res_Name,0)),0))</f>
        <v>0</v>
      </c>
      <c r="CN86" s="41" t="n">
        <f aca="false">Tasks[[#This Row],[_LeafWork]]+IF(Tasks[[#This Row],[_IsLeaf]]=1,SUMIFS(asg_Work,asg_TaskUID,Tasks[[#This Row],[UID]],asg_Valid,1),0)</f>
        <v>0</v>
      </c>
      <c r="CO86" s="41" t="n">
        <f aca="false">Tasks[[#This Row],[_LeafCost]]+IF(Tasks[[#This Row],[_IsLeaf]]=1,SUMIFS(asg_Cost,asg_TaskUID,Tasks[[#This Row],[UID]],asg_Valid,1),0)</f>
        <v>0</v>
      </c>
      <c r="CP86" s="41" t="n">
        <f aca="false">IF(Tasks[[#This Row],[_LeafTotalCost]]=0,Tasks[[#This Row],[_LeafAC]],Tasks[[#This Row],[_LeafAC]]*Tasks[[#This Row],[_LeafCost]]/Tasks[[#This Row],[_LeafTotalCost]])</f>
        <v>0</v>
      </c>
      <c r="CQ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6" s="41" t="n">
        <f aca="false">IF(NOT(Tasks[[#This Row],[_IsLeaf]]=1),0,MAX(_xlfn.MAXIFS(Tasks[_Row],Tasks[Pred1 UID],Tasks[[#This Row],[UID]]),_xlfn.MAXIFS(Tasks[_Row],Tasks[Pred2 UID],Tasks[[#This Row],[UID]]),_xlfn.MAXIFS(Tasks[_Row],Tasks[Pred3 UID],Tasks[[#This Row],[UID]]),_xlfn.MAXIFS(Tasks[_Row],Tasks[Pred4 UID],Tasks[[#This Row],[UID]])))</f>
        <v>0</v>
      </c>
      <c r="CZ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6" s="101" t="str">
        <f aca="false">IF(NOT(Tasks[[#This Row],[_IsLeaf]]=1),"",IF(N(Tasks[[#This Row],[Duration]])&lt;=0,Tasks[[#This Row],[_LeafLateFinish]],WORKDAY.INTL(Tasks[[#This Row],[_LeafLateFinish]],-(Tasks[[#This Row],[Duration]]-1),WorkWeek,Holidays)))</f>
        <v/>
      </c>
      <c r="DC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6" s="100" t="b">
        <f aca="false">AND(Tasks[[#This Row],[_IsLeaf]]=1,Tasks[[#This Row],[_LeafProgress]]&lt;1,N(Tasks[[#This Row],[_LeafTotalSlack]])&lt;=CriticalSlackDays)</f>
        <v>0</v>
      </c>
      <c r="DE86" s="41" t="n">
        <f aca="false">IF(AND(Tasks[[#This Row],[_IsLeaf]]=1,Tasks[[#This Row],[_ConstraintCode]]=1,Tasks[[#This Row],[Mode]]&lt;&gt;"Manual",N(Tasks[[#This Row],[Actual Start]])=0),MAX(0,N(Tasks[[#This Row],[Free Slack]])),0)</f>
        <v>0</v>
      </c>
      <c r="DF86" s="101" t="str">
        <f aca="false">IF(NOT(Tasks[[#This Row],[_IsLeaf]]=1),"",IF(Tasks[[#This Row],[_AlapShift]]=0,Tasks[[#This Row],[_LeafCalcStart]],WORKDAY.INTL(Tasks[[#This Row],[_LeafCalcStart]],Tasks[[#This Row],[_AlapShift]],WorkWeek,Holidays)))</f>
        <v/>
      </c>
      <c r="DG86" s="101" t="str">
        <f aca="false">IF(NOT(Tasks[[#This Row],[_IsLeaf]]=1),"",IF(Tasks[[#This Row],[_AlapShift]]=0,Tasks[[#This Row],[_LeafCalcFinish]],WORKDAY.INTL(Tasks[[#This Row],[_LeafCalcFinish]],Tasks[[#This Row],[_AlapShift]],WorkWeek,Holidays)))</f>
        <v/>
      </c>
      <c r="DH86" s="101" t="str">
        <f aca="false">IF(NOT(Tasks[[#This Row],[_IsLeaf]]=1),"",IF(Tasks[[#This Row],[_AlapShift]]=0,Tasks[[#This Row],[_LeafFcstStart]],WORKDAY.INTL(Tasks[[#This Row],[_LeafFcstStart]],Tasks[[#This Row],[_AlapShift]],WorkWeek,Holidays)))</f>
        <v/>
      </c>
      <c r="DI86" s="101" t="str">
        <f aca="false">IF(NOT(Tasks[[#This Row],[_IsLeaf]]=1),"",IF(Tasks[[#This Row],[_AlapShift]]=0,Tasks[[#This Row],[_LeafFcstFinish]],WORKDAY.INTL(Tasks[[#This Row],[_LeafFcstFinish]],Tasks[[#This Row],[_AlapShift]],WorkWeek,Holidays)))</f>
        <v/>
      </c>
      <c r="DJ86" s="101" t="str">
        <f aca="false">IF(Tasks[[#This Row],[Task Name]]="","",IF(Tasks[[#This Row],[_IsSummary]],MIN(INDEX(Tasks[_ShownCalcStart],Tasks[[#This Row],[_Row]]+1):INDEX(Tasks[_ShownCalcStart],Tasks[[#This Row],[_Row]]+Tasks[[#This Row],[_Descendants]])),Tasks[[#This Row],[_ShownCalcStart]]))</f>
        <v/>
      </c>
      <c r="DK86" s="101" t="str">
        <f aca="false">IF(Tasks[[#This Row],[Task Name]]="","",IF(Tasks[[#This Row],[_IsSummary]],MAX(INDEX(Tasks[_ShownCalcFinish],Tasks[[#This Row],[_Row]]+1):INDEX(Tasks[_ShownCalcFinish],Tasks[[#This Row],[_Row]]+Tasks[[#This Row],[_Descendants]])),Tasks[[#This Row],[_ShownCalcFinish]]))</f>
        <v/>
      </c>
      <c r="D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6" s="41" t="n">
        <f aca="false">IF(AND(Tasks[[#This Row],[_IsLeaf]]=1,Tasks[[#This Row],[_LeafTotalWork]]&gt;0),NETWORKDAYS.INTL(ProjectStart,Tasks[[#This Row],[_ShownFcstStart]],WorkWeek,Holidays),0)</f>
        <v>0</v>
      </c>
      <c r="DY86" s="41" t="n">
        <f aca="false">IF(AND(Tasks[[#This Row],[_IsLeaf]]=1,Tasks[[#This Row],[_LeafTotalWork]]&gt;0),MAX(Tasks[[#This Row],[_StartWorkday]],NETWORKDAYS.INTL(ProjectStart,Tasks[[#This Row],[_ShownFcstFinish]],WorkWeek,Holidays)),0)</f>
        <v>0</v>
      </c>
      <c r="DZ86" s="41" t="n">
        <f aca="false">IF(AND(Tasks[[#This Row],[_IsLeaf]]=1,Tasks[[#This Row],[_LeafTotalWork]]&gt;0),Tasks[[#This Row],[_LeafWork]]/(Tasks[[#This Row],[_FinishWorkday]]-Tasks[[#This Row],[_StartWorkday]]+1),0)</f>
        <v>0</v>
      </c>
      <c r="EA86" s="41" t="n">
        <f aca="false">Tasks[[#This Row],[_WorkPerWorkday]]*(Tasks[[#This Row],[_StartWorkday]]-1)</f>
        <v>-0</v>
      </c>
      <c r="EB86" s="41" t="n">
        <f aca="false">IF(Tasks[[#This Row],[_IsLeaf]]=1,MAX(N(Tasks[[#This Row],[Duration]]),0.1),0)</f>
        <v>0</v>
      </c>
      <c r="EC86" s="41" t="n">
        <f aca="false">Tasks[[#This Row],[_WeightDur]]*Tasks[[#This Row],[_LeafProgress]]</f>
        <v>0</v>
      </c>
      <c r="ED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6" s="41" t="str">
        <f aca="false">IF(AND(Tasks[[#This Row],[_IsLeaf]]=1,N(Tasks[[#This Row],[Duration]])=0,Tasks[[#This Row],[_LeafProgress]]&lt;1),Tasks[[#This Row],[_ShownFcstFinish]]+Tasks[[#This Row],[_Row]]/100000,"")</f>
        <v/>
      </c>
      <c r="EF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6" s="41" t="n">
        <f aca="false">IF(NOT(Tasks[[#This Row],[_IsLeaf]]=1),0,IF(Tasks[[#This Row],[Baseline Cost]]="",Tasks[[#This Row],[_LeafTotalCost]],N(Tasks[[#This Row],[Baseline Cost]])))</f>
        <v>0</v>
      </c>
      <c r="EH86" s="41" t="n">
        <f aca="false">Tasks[[#This Row],[_LeafBudget]]*Tasks[[#This Row],[_PlannedPct]]</f>
        <v>0</v>
      </c>
      <c r="EI86" s="41" t="n">
        <f aca="false">Tasks[[#This Row],[_LeafBudget]]*Tasks[[#This Row],[_LeafProgress]]</f>
        <v>0</v>
      </c>
      <c r="EJ86" s="41" t="n">
        <f aca="false">IF(NOT(Tasks[[#This Row],[_IsLeaf]]=1),0,IF(Tasks[[#This Row],[Actual Cost]]="",Tasks[[#This Row],[_LeafTotalCost]]*Tasks[[#This Row],[_LeafProgress]],N(Tasks[[#This Row],[Actual Cost]])))</f>
        <v>0</v>
      </c>
      <c r="EK86" s="41" t="str">
        <f aca="false">IF(Tasks[[#This Row],[Task Name]]="","",LEFT(Tasks[[#This Row],[WBS]],FIND(".",Tasks[[#This Row],[WBS]]&amp;".")-1))</f>
        <v/>
      </c>
      <c r="EL86" s="41" t="str">
        <f aca="false">IF(AND(Tasks[[#This Row],[Task Name]]&lt;&gt;"",Tasks[[#This Row],[_Level]]=1),Tasks[[#This Row],[_Row]],"")</f>
        <v/>
      </c>
      <c r="EM86" s="41" t="str">
        <f aca="false">IF(AND(Tasks[[#This Row],[_IsLeaf]]=1,N(Tasks[[#This Row],[Duration]])=0),Tasks[[#This Row],[Planned Finish]]+Tasks[[#This Row],[_Row]]/100000,"")</f>
        <v/>
      </c>
      <c r="EN86" s="41" t="str">
        <f aca="false">IF(AND(Tasks[[#This Row],[_IsLeaf]]=1,Tasks[[#This Row],[_LeafProgress]]&lt;1,OR(N(Tasks[[#This Row],[Finish Var]])&gt;0,Tasks[[#This Row],[Status]]="Late Start")),MAX(0,Tasks[[#This Row],[Finish Var]])+1-Tasks[[#This Row],[_Row]]/1000000,"")</f>
        <v/>
      </c>
      <c r="EO86" s="41" t="str">
        <f aca="false">IF(AND(Tasks[[#This Row],[_IsLeaf]]=1,N(Tasks[[#This Row],[Actual Start]])=0,Tasks[[#This Row],[_ShownFcstStart]]&gt;=StatusDate,Tasks[[#This Row],[_ShownFcstStart]]&lt;=LookaheadEnd),Tasks[[#This Row],[_ShownFcstStart]]+Tasks[[#This Row],[_Row]]/100000,"")</f>
        <v/>
      </c>
      <c r="EP86" s="41" t="str">
        <f aca="false">IF(AND(Tasks[[#This Row],[_IsLeaf]]=1,Tasks[[#This Row],[_LeafProgress]]&lt;1,Tasks[[#This Row],[_ShownFcstFinish]]&gt;=StatusDate,Tasks[[#This Row],[_ShownFcstFinish]]&lt;=LookaheadEnd),Tasks[[#This Row],[_ShownFcstFinish]]+Tasks[[#This Row],[_Row]]/100000,"")</f>
        <v/>
      </c>
      <c r="EQ86" s="41" t="str">
        <f aca="false">IF(Tasks[[#This Row],[_LeafCritical]],Tasks[[#This Row],[_ShownFcstStart]]+Tasks[[#This Row],[_Row]]/100000,"")</f>
        <v/>
      </c>
      <c r="ER86" s="41" t="n">
        <f aca="false">Tasks[[#This Row],[_LeafWork]]*Tasks[[#This Row],[_LeafProgress]]</f>
        <v>0</v>
      </c>
      <c r="ES86" s="101" t="str">
        <f aca="false">IF(AND(Tasks[[#This Row],[_IsLeaf]]=1,Tasks[[#This Row],[_LeafProgress]]&gt;=1),IF(N(Tasks[[#This Row],[Actual Finish]])&gt;0,Tasks[[#This Row],[Actual Finish]],Tasks[[#This Row],[_ShownFcstFinish]]),"")</f>
        <v/>
      </c>
      <c r="ET86" s="41" t="n">
        <f aca="false">IF(Tasks[[#This Row],[_IsLeaf]]=1,N(Tasks[[#This Row],[Story Points]]),0)</f>
        <v>0</v>
      </c>
      <c r="EU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29"/>
      <c r="O87" s="29"/>
      <c r="P87" s="29"/>
      <c r="Q87" s="29"/>
      <c r="R87" s="29"/>
      <c r="S87" s="29"/>
      <c r="T87" s="30"/>
      <c r="U87" s="75"/>
      <c r="V87" s="75"/>
      <c r="W87" s="25" t="str">
        <f aca="false">IF(Tasks[[#This Row],[Task Name]]="","",IF(N(Tasks[[#This Row],[Baseline Start]])&gt;0,Tasks[[#This Row],[Baseline Start]],Tasks[[#This Row],[_CalcStart]]))</f>
        <v/>
      </c>
      <c r="X87" s="25" t="str">
        <f aca="false">IF(Tasks[[#This Row],[Task Name]]="","",IF(N(Tasks[[#This Row],[Baseline Finish]])&gt;0,Tasks[[#This Row],[Baseline Finish]],Tasks[[#This Row],[_CalcFinish]]))</f>
        <v/>
      </c>
      <c r="Y87" s="75"/>
      <c r="Z87" s="75"/>
      <c r="AA87" s="25" t="str">
        <f aca="false">IF(Tasks[[#This Row],[Task Name]]="","",IF(Tasks[[#This Row],[_IsSummary]],MIN(INDEX(Tasks[_ShownFcstStart],Tasks[[#This Row],[_Row]]+1):INDEX(Tasks[_ShownFcstStart],Tasks[[#This Row],[_Row]]+Tasks[[#This Row],[_Descendants]])),Tasks[[#This Row],[_ShownFcstStart]]))</f>
        <v/>
      </c>
      <c r="AB87" s="25" t="str">
        <f aca="false">IF(Tasks[[#This Row],[Task Name]]="","",IF(Tasks[[#This Row],[_IsSummary]],MAX(INDEX(Tasks[_ShownFcstFinish],Tasks[[#This Row],[_Row]]+1):INDEX(Tasks[_ShownFcstFinish],Tasks[[#This Row],[_Row]]+Tasks[[#This Row],[_Descendants]])),Tasks[[#This Row],[_ShownFcstFinish]]))</f>
        <v/>
      </c>
      <c r="AC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7" s="25" t="str">
        <f aca="false">IF(Tasks[[#This Row],[Task Name]]="","",IF(Tasks[[#This Row],[_IsSummary]],MIN(INDEX(Tasks[_LeafLateStart],Tasks[[#This Row],[_Row]]+1):INDEX(Tasks[_LeafLateStart],Tasks[[#This Row],[_Row]]+Tasks[[#This Row],[_Descendants]])),Tasks[[#This Row],[_LeafLateStart]]))</f>
        <v/>
      </c>
      <c r="AF87" s="25" t="str">
        <f aca="false">IF(Tasks[[#This Row],[Task Name]]="","",IF(Tasks[[#This Row],[_IsSummary]],MAX(INDEX(Tasks[_LeafLateFinish],Tasks[[#This Row],[_Row]]+1):INDEX(Tasks[_LeafLateFinish],Tasks[[#This Row],[_Row]]+Tasks[[#This Row],[_Descendants]])),Tasks[[#This Row],[_LeafLateFinish]]))</f>
        <v/>
      </c>
      <c r="AG87" s="28" t="str">
        <f aca="false">IF(Tasks[[#This Row],[Task Name]]="","",IF(Tasks[[#This Row],[_IsSummary]],MIN(INDEX(Tasks[_LeafTotalSlack],Tasks[[#This Row],[_Row]]+1):INDEX(Tasks[_LeafTotalSlack],Tasks[[#This Row],[_Row]]+Tasks[[#This Row],[_Descendants]])),Tasks[[#This Row],[_LeafTotalSlack]]))</f>
        <v/>
      </c>
      <c r="AH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7" s="28" t="str">
        <f aca="false">IF(Tasks[[#This Row],[Task Name]]="","",IF(IF(Tasks[[#This Row],[_IsSummary]],COUNTIF(INDEX(Tasks[_LeafCritical],Tasks[[#This Row],[_Row]]+1):INDEX(Tasks[_LeafCritical],Tasks[[#This Row],[_Row]]+Tasks[[#This Row],[_Descendants]]),TRUE())&gt;0,Tasks[[#This Row],[_LeafCritical]]),"Yes",""))</f>
        <v/>
      </c>
      <c r="AJ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7" s="89"/>
      <c r="AM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7" s="28" t="str">
        <f aca="false">IF(Tasks[[#This Row],[Task Name]]="","",IF(Tasks[[#This Row],[Progress]]&gt;=1,"Complete",IF(OR(N(Tasks[[#This Row],[Actual Start]])&gt;0,Tasks[[#This Row],[Progress]]&gt;0),IF(Tasks[[#This Row],[Finish Var]]&gt;0,"Behind","In Progress"),IF(Tasks[[#This Row],[Planned Start]]&lt;StatusDate,"Late Start","Not Started"))))</f>
        <v/>
      </c>
      <c r="AO87" s="30"/>
      <c r="AP87" s="89"/>
      <c r="AQ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7" s="96" t="str">
        <f aca="false">IF(Tasks[[#This Row],[Task Name]]="","",IF(Tasks[[#This Row],[_IsSummary]],SUM(INDEX(Tasks[_LeafTotalWork],Tasks[[#This Row],[_Row]]+1):INDEX(Tasks[_LeafTotalWork],Tasks[[#This Row],[_Row]]+Tasks[[#This Row],[_Descendants]])),Tasks[[#This Row],[_LeafTotalWork]]))</f>
        <v/>
      </c>
      <c r="AT87" s="97" t="str">
        <f aca="false">IF(Tasks[[#This Row],[Task Name]]="","",IF(Tasks[[#This Row],[_IsSummary]],SUM(INDEX(Tasks[_LeafTotalCost],Tasks[[#This Row],[_Row]]+1):INDEX(Tasks[_LeafTotalCost],Tasks[[#This Row],[_Row]]+Tasks[[#This Row],[_Descendants]])),Tasks[[#This Row],[_LeafTotalCost]]))</f>
        <v/>
      </c>
      <c r="AU87" s="98"/>
      <c r="AV87" s="29"/>
      <c r="AW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7" s="83"/>
      <c r="AY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7" s="30"/>
      <c r="BA87" s="25" t="str">
        <f aca="false">IF(Tasks[[#This Row],[Task Name]]="","",Tasks[[#This Row],[Forecast Start]])</f>
        <v/>
      </c>
      <c r="BB87" s="25" t="str">
        <f aca="false">IF(Tasks[[#This Row],[Task Name]]="","",Tasks[[#This Row],[Forecast Finish]])</f>
        <v/>
      </c>
      <c r="BC87" s="28" t="str">
        <f aca="false">IF(Tasks[[#This Row],[Task Name]]="","",IF(Tasks[[#This Row],[_IsSummary]],NETWORKDAYS.INTL(Tasks[[#This Row],[Forecast Start]],Tasks[[#This Row],[Forecast Finish]],WorkWeek,Holidays),N(Tasks[[#This Row],[Duration]])))</f>
        <v/>
      </c>
      <c r="BD87" s="96" t="str">
        <f aca="false">IF(Tasks[[#This Row],[Task Name]]="","",Tasks[[#This Row],[Work]])</f>
        <v/>
      </c>
      <c r="BE87" s="97" t="str">
        <f aca="false">IF(Tasks[[#This Row],[Task Name]]="","",Tasks[[#This Row],[Cost]])</f>
        <v/>
      </c>
      <c r="BF87" s="75"/>
      <c r="BG87" s="75"/>
      <c r="BH87" s="29"/>
      <c r="BI87" s="99"/>
      <c r="BJ87" s="98"/>
      <c r="BK87" s="28" t="str">
        <f aca="false">IF(OR(Tasks[[#This Row],[Task Name]]="",Tasks[[#This Row],[Baseline Duration]]=""),"",Tasks[[#This Row],[BL Source Duration]]-N(Tasks[[#This Row],[Baseline Duration]]))</f>
        <v/>
      </c>
      <c r="BL87" s="96" t="str">
        <f aca="false">IF(OR(Tasks[[#This Row],[Task Name]]="",Tasks[[#This Row],[Baseline Work]]=""),"",Tasks[[#This Row],[Work]]-N(Tasks[[#This Row],[Baseline Work]]))</f>
        <v/>
      </c>
      <c r="BM87" s="97" t="str">
        <f aca="false">IF(OR(Tasks[[#This Row],[Task Name]]="",Tasks[[#This Row],[Baseline Cost]]=""),"",Tasks[[#This Row],[Cost]]-N(Tasks[[#This Row],[Baseline Cost]]))</f>
        <v/>
      </c>
      <c r="BN87" s="97" t="str">
        <f aca="false">IF(Tasks[[#This Row],[Task Name]]="","",IF(Tasks[[#This Row],[_IsSummary]],SUM(INDEX(Tasks[_LeafBudget],Tasks[[#This Row],[_Row]]+1):INDEX(Tasks[_LeafBudget],Tasks[[#This Row],[_Row]]+Tasks[[#This Row],[_Descendants]])),Tasks[[#This Row],[_LeafBudget]]))</f>
        <v/>
      </c>
      <c r="BO87" s="97" t="str">
        <f aca="false">IF(Tasks[[#This Row],[Task Name]]="","",IF(Tasks[[#This Row],[_IsSummary]],SUM(INDEX(Tasks[_LeafPV],Tasks[[#This Row],[_Row]]+1):INDEX(Tasks[_LeafPV],Tasks[[#This Row],[_Row]]+Tasks[[#This Row],[_Descendants]])),Tasks[[#This Row],[_LeafPV]]))</f>
        <v/>
      </c>
      <c r="BP87" s="97" t="str">
        <f aca="false">IF(Tasks[[#This Row],[Task Name]]="","",IF(Tasks[[#This Row],[_IsSummary]],SUM(INDEX(Tasks[_LeafEV],Tasks[[#This Row],[_Row]]+1):INDEX(Tasks[_LeafEV],Tasks[[#This Row],[_Row]]+Tasks[[#This Row],[_Descendants]])),Tasks[[#This Row],[_LeafEV]]))</f>
        <v/>
      </c>
      <c r="BQ87" s="97" t="str">
        <f aca="false">IF(Tasks[[#This Row],[Task Name]]="","",IF(Tasks[[#This Row],[_IsSummary]],SUM(INDEX(Tasks[_LeafAC],Tasks[[#This Row],[_Row]]+1):INDEX(Tasks[_LeafAC],Tasks[[#This Row],[_Row]]+Tasks[[#This Row],[_Descendants]])),Tasks[[#This Row],[_LeafAC]]))</f>
        <v/>
      </c>
      <c r="BR87" s="41" t="str">
        <f aca="false">IF(Tasks[[#This Row],[Task Name]]="","",MAX(1,N(Tasks[[#This Row],[Level]])))</f>
        <v/>
      </c>
      <c r="BS87" s="41" t="n">
        <f aca="false">ROW()-ROW(Tasks[[#Headers],[ID]])</f>
        <v>82</v>
      </c>
      <c r="BT87" s="41" t="n">
        <f aca="false">IF(OR(Tasks[[#This Row],[Task Name]]="",Tasks[[#This Row],[_Level]]&lt;=1),0,IFERROR(LOOKUP(2,1/(Tasks[[#Headers],[_Level]]:Tasks[[#This Row],[_Level]]=Tasks[[#This Row],[_Level]]-1),ROW(Tasks[[#Headers],[_Level]]:Tasks[[#This Row],[_Level]])),0))</f>
        <v>0</v>
      </c>
      <c r="BU87" s="41" t="n">
        <f aca="false">IFERROR(N(INDEX(Tasks[_Level],Tasks[[#This Row],[_Row]]+1)),0)</f>
        <v>0</v>
      </c>
      <c r="BV87" s="100" t="b">
        <f aca="false">AND(Tasks[[#This Row],[Task Name]]&lt;&gt;"",Tasks[[#This Row],[_NextLevel]]&gt;Tasks[[#This Row],[_Level]])</f>
        <v>0</v>
      </c>
      <c r="BW87" s="41" t="n">
        <f aca="false">IF(Tasks[[#This Row],[_IsSummary]],COUNTIF(Tasks[WBS],Tasks[[#This Row],[WBS]]&amp;".*"),0)</f>
        <v>0</v>
      </c>
      <c r="BX87" s="41" t="n">
        <f aca="false">IF(AND(Tasks[[#This Row],[Task Name]]&lt;&gt;"",NOT(Tasks[[#This Row],[_IsSummary]])),1,0)</f>
        <v>0</v>
      </c>
      <c r="BY87" s="41" t="n">
        <f aca="false">IF(N(Tasks[[#This Row],[Pred1 UID]])=0,0,IFERROR(MATCH(Tasks[[#This Row],[Pred1 UID]],Tasks[UID],0),-1))</f>
        <v>0</v>
      </c>
      <c r="BZ87" s="41" t="n">
        <f aca="false">IF(N(Tasks[[#This Row],[Pred2 UID]])=0,0,IFERROR(MATCH(Tasks[[#This Row],[Pred2 UID]],Tasks[UID],0),-1))</f>
        <v>0</v>
      </c>
      <c r="CA87" s="41" t="n">
        <f aca="false">IF(N(Tasks[[#This Row],[Pred3 UID]])=0,0,IFERROR(MATCH(Tasks[[#This Row],[Pred3 UID]],Tasks[UID],0),-1))</f>
        <v>0</v>
      </c>
      <c r="CB87" s="41" t="n">
        <f aca="false">IF(N(Tasks[[#This Row],[Pred4 UID]])=0,0,IFERROR(MATCH(Tasks[[#This Row],[Pred4 UID]],Tasks[UID],0),-1))</f>
        <v>0</v>
      </c>
      <c r="CC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7" s="101" t="n">
        <f aca="false">IF(OR(Tasks[[#This Row],[_ConstraintCode]]=2,Tasks[[#This Row],[_ConstraintCode]]=3,Tasks[[#This Row],[_ConstraintCode]]=4,Tasks[[#This Row],[_ConstraintCode]]=6),Tasks[[#This Row],[_ConstraintStart]],0)</f>
        <v>0</v>
      </c>
      <c r="CF87" s="101" t="n">
        <f aca="false">IF(OR(Tasks[[#This Row],[_ConstraintCode]]=2,Tasks[[#This Row],[_ConstraintCode]]=3,Tasks[[#This Row],[_ConstraintCode]]=5,Tasks[[#This Row],[_ConstraintCode]]=7),Tasks[[#This Row],[_ConstraintStart]],2958465)</f>
        <v>2958465</v>
      </c>
      <c r="CG8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7" s="101" t="str">
        <f aca="false">IF(NOT(Tasks[[#This Row],[_IsLeaf]]=1),"",IF(N(Tasks[[#This Row],[Duration]])&lt;=0,Tasks[[#This Row],[_LeafCalcStart]],WORKDAY.INTL(Tasks[[#This Row],[_LeafCalcStart]],Tasks[[#This Row],[Duration]]-1,WorkWeek,Holidays)))</f>
        <v/>
      </c>
      <c r="CI8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7" s="41" t="n">
        <f aca="false">IF(NOT(Tasks[[#This Row],[_IsLeaf]]=1),0,IF(N(Tasks[[#This Row],[Actual Finish]])&gt;0,1,MIN(1,N(Tasks[[#This Row],[% Complete]]))))</f>
        <v>0</v>
      </c>
      <c r="CL87" s="41" t="n">
        <f aca="false">IF(OR(NOT(Tasks[[#This Row],[_IsLeaf]]=1),Tasks[[#This Row],[Resource]]=""),0,N(Tasks[[#This Row],[Duration]])*HoursPerDay*IF(Tasks[[#This Row],[Units]]="",DefaultUnits,Tasks[[#This Row],[Units]]))</f>
        <v>0</v>
      </c>
      <c r="CM87" s="41" t="n">
        <f aca="false">IF(Tasks[[#This Row],[_LeafWork]]=0,0,Tasks[[#This Row],[_LeafWork]]*IFERROR(INDEX(res_Rate,MATCH(Tasks[[#This Row],[Resource]],res_Name,0)),0))</f>
        <v>0</v>
      </c>
      <c r="CN87" s="41" t="n">
        <f aca="false">Tasks[[#This Row],[_LeafWork]]+IF(Tasks[[#This Row],[_IsLeaf]]=1,SUMIFS(asg_Work,asg_TaskUID,Tasks[[#This Row],[UID]],asg_Valid,1),0)</f>
        <v>0</v>
      </c>
      <c r="CO87" s="41" t="n">
        <f aca="false">Tasks[[#This Row],[_LeafCost]]+IF(Tasks[[#This Row],[_IsLeaf]]=1,SUMIFS(asg_Cost,asg_TaskUID,Tasks[[#This Row],[UID]],asg_Valid,1),0)</f>
        <v>0</v>
      </c>
      <c r="CP87" s="41" t="n">
        <f aca="false">IF(Tasks[[#This Row],[_LeafTotalCost]]=0,Tasks[[#This Row],[_LeafAC]],Tasks[[#This Row],[_LeafAC]]*Tasks[[#This Row],[_LeafCost]]/Tasks[[#This Row],[_LeafTotalCost]])</f>
        <v>0</v>
      </c>
      <c r="CQ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7" s="41" t="n">
        <f aca="false">IF(NOT(Tasks[[#This Row],[_IsLeaf]]=1),0,MAX(_xlfn.MAXIFS(Tasks[_Row],Tasks[Pred1 UID],Tasks[[#This Row],[UID]]),_xlfn.MAXIFS(Tasks[_Row],Tasks[Pred2 UID],Tasks[[#This Row],[UID]]),_xlfn.MAXIFS(Tasks[_Row],Tasks[Pred3 UID],Tasks[[#This Row],[UID]]),_xlfn.MAXIFS(Tasks[_Row],Tasks[Pred4 UID],Tasks[[#This Row],[UID]])))</f>
        <v>0</v>
      </c>
      <c r="CZ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7" s="101" t="str">
        <f aca="false">IF(NOT(Tasks[[#This Row],[_IsLeaf]]=1),"",IF(N(Tasks[[#This Row],[Duration]])&lt;=0,Tasks[[#This Row],[_LeafLateFinish]],WORKDAY.INTL(Tasks[[#This Row],[_LeafLateFinish]],-(Tasks[[#This Row],[Duration]]-1),WorkWeek,Holidays)))</f>
        <v/>
      </c>
      <c r="DC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7" s="100" t="b">
        <f aca="false">AND(Tasks[[#This Row],[_IsLeaf]]=1,Tasks[[#This Row],[_LeafProgress]]&lt;1,N(Tasks[[#This Row],[_LeafTotalSlack]])&lt;=CriticalSlackDays)</f>
        <v>0</v>
      </c>
      <c r="DE87" s="41" t="n">
        <f aca="false">IF(AND(Tasks[[#This Row],[_IsLeaf]]=1,Tasks[[#This Row],[_ConstraintCode]]=1,Tasks[[#This Row],[Mode]]&lt;&gt;"Manual",N(Tasks[[#This Row],[Actual Start]])=0),MAX(0,N(Tasks[[#This Row],[Free Slack]])),0)</f>
        <v>0</v>
      </c>
      <c r="DF87" s="101" t="str">
        <f aca="false">IF(NOT(Tasks[[#This Row],[_IsLeaf]]=1),"",IF(Tasks[[#This Row],[_AlapShift]]=0,Tasks[[#This Row],[_LeafCalcStart]],WORKDAY.INTL(Tasks[[#This Row],[_LeafCalcStart]],Tasks[[#This Row],[_AlapShift]],WorkWeek,Holidays)))</f>
        <v/>
      </c>
      <c r="DG87" s="101" t="str">
        <f aca="false">IF(NOT(Tasks[[#This Row],[_IsLeaf]]=1),"",IF(Tasks[[#This Row],[_AlapShift]]=0,Tasks[[#This Row],[_LeafCalcFinish]],WORKDAY.INTL(Tasks[[#This Row],[_LeafCalcFinish]],Tasks[[#This Row],[_AlapShift]],WorkWeek,Holidays)))</f>
        <v/>
      </c>
      <c r="DH87" s="101" t="str">
        <f aca="false">IF(NOT(Tasks[[#This Row],[_IsLeaf]]=1),"",IF(Tasks[[#This Row],[_AlapShift]]=0,Tasks[[#This Row],[_LeafFcstStart]],WORKDAY.INTL(Tasks[[#This Row],[_LeafFcstStart]],Tasks[[#This Row],[_AlapShift]],WorkWeek,Holidays)))</f>
        <v/>
      </c>
      <c r="DI87" s="101" t="str">
        <f aca="false">IF(NOT(Tasks[[#This Row],[_IsLeaf]]=1),"",IF(Tasks[[#This Row],[_AlapShift]]=0,Tasks[[#This Row],[_LeafFcstFinish]],WORKDAY.INTL(Tasks[[#This Row],[_LeafFcstFinish]],Tasks[[#This Row],[_AlapShift]],WorkWeek,Holidays)))</f>
        <v/>
      </c>
      <c r="DJ87" s="101" t="str">
        <f aca="false">IF(Tasks[[#This Row],[Task Name]]="","",IF(Tasks[[#This Row],[_IsSummary]],MIN(INDEX(Tasks[_ShownCalcStart],Tasks[[#This Row],[_Row]]+1):INDEX(Tasks[_ShownCalcStart],Tasks[[#This Row],[_Row]]+Tasks[[#This Row],[_Descendants]])),Tasks[[#This Row],[_ShownCalcStart]]))</f>
        <v/>
      </c>
      <c r="DK87" s="101" t="str">
        <f aca="false">IF(Tasks[[#This Row],[Task Name]]="","",IF(Tasks[[#This Row],[_IsSummary]],MAX(INDEX(Tasks[_ShownCalcFinish],Tasks[[#This Row],[_Row]]+1):INDEX(Tasks[_ShownCalcFinish],Tasks[[#This Row],[_Row]]+Tasks[[#This Row],[_Descendants]])),Tasks[[#This Row],[_ShownCalcFinish]]))</f>
        <v/>
      </c>
      <c r="D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7" s="41" t="n">
        <f aca="false">IF(AND(Tasks[[#This Row],[_IsLeaf]]=1,Tasks[[#This Row],[_LeafTotalWork]]&gt;0),NETWORKDAYS.INTL(ProjectStart,Tasks[[#This Row],[_ShownFcstStart]],WorkWeek,Holidays),0)</f>
        <v>0</v>
      </c>
      <c r="DY87" s="41" t="n">
        <f aca="false">IF(AND(Tasks[[#This Row],[_IsLeaf]]=1,Tasks[[#This Row],[_LeafTotalWork]]&gt;0),MAX(Tasks[[#This Row],[_StartWorkday]],NETWORKDAYS.INTL(ProjectStart,Tasks[[#This Row],[_ShownFcstFinish]],WorkWeek,Holidays)),0)</f>
        <v>0</v>
      </c>
      <c r="DZ87" s="41" t="n">
        <f aca="false">IF(AND(Tasks[[#This Row],[_IsLeaf]]=1,Tasks[[#This Row],[_LeafTotalWork]]&gt;0),Tasks[[#This Row],[_LeafWork]]/(Tasks[[#This Row],[_FinishWorkday]]-Tasks[[#This Row],[_StartWorkday]]+1),0)</f>
        <v>0</v>
      </c>
      <c r="EA87" s="41" t="n">
        <f aca="false">Tasks[[#This Row],[_WorkPerWorkday]]*(Tasks[[#This Row],[_StartWorkday]]-1)</f>
        <v>-0</v>
      </c>
      <c r="EB87" s="41" t="n">
        <f aca="false">IF(Tasks[[#This Row],[_IsLeaf]]=1,MAX(N(Tasks[[#This Row],[Duration]]),0.1),0)</f>
        <v>0</v>
      </c>
      <c r="EC87" s="41" t="n">
        <f aca="false">Tasks[[#This Row],[_WeightDur]]*Tasks[[#This Row],[_LeafProgress]]</f>
        <v>0</v>
      </c>
      <c r="ED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7" s="41" t="str">
        <f aca="false">IF(AND(Tasks[[#This Row],[_IsLeaf]]=1,N(Tasks[[#This Row],[Duration]])=0,Tasks[[#This Row],[_LeafProgress]]&lt;1),Tasks[[#This Row],[_ShownFcstFinish]]+Tasks[[#This Row],[_Row]]/100000,"")</f>
        <v/>
      </c>
      <c r="EF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7" s="41" t="n">
        <f aca="false">IF(NOT(Tasks[[#This Row],[_IsLeaf]]=1),0,IF(Tasks[[#This Row],[Baseline Cost]]="",Tasks[[#This Row],[_LeafTotalCost]],N(Tasks[[#This Row],[Baseline Cost]])))</f>
        <v>0</v>
      </c>
      <c r="EH87" s="41" t="n">
        <f aca="false">Tasks[[#This Row],[_LeafBudget]]*Tasks[[#This Row],[_PlannedPct]]</f>
        <v>0</v>
      </c>
      <c r="EI87" s="41" t="n">
        <f aca="false">Tasks[[#This Row],[_LeafBudget]]*Tasks[[#This Row],[_LeafProgress]]</f>
        <v>0</v>
      </c>
      <c r="EJ87" s="41" t="n">
        <f aca="false">IF(NOT(Tasks[[#This Row],[_IsLeaf]]=1),0,IF(Tasks[[#This Row],[Actual Cost]]="",Tasks[[#This Row],[_LeafTotalCost]]*Tasks[[#This Row],[_LeafProgress]],N(Tasks[[#This Row],[Actual Cost]])))</f>
        <v>0</v>
      </c>
      <c r="EK87" s="41" t="str">
        <f aca="false">IF(Tasks[[#This Row],[Task Name]]="","",LEFT(Tasks[[#This Row],[WBS]],FIND(".",Tasks[[#This Row],[WBS]]&amp;".")-1))</f>
        <v/>
      </c>
      <c r="EL87" s="41" t="str">
        <f aca="false">IF(AND(Tasks[[#This Row],[Task Name]]&lt;&gt;"",Tasks[[#This Row],[_Level]]=1),Tasks[[#This Row],[_Row]],"")</f>
        <v/>
      </c>
      <c r="EM87" s="41" t="str">
        <f aca="false">IF(AND(Tasks[[#This Row],[_IsLeaf]]=1,N(Tasks[[#This Row],[Duration]])=0),Tasks[[#This Row],[Planned Finish]]+Tasks[[#This Row],[_Row]]/100000,"")</f>
        <v/>
      </c>
      <c r="EN87" s="41" t="str">
        <f aca="false">IF(AND(Tasks[[#This Row],[_IsLeaf]]=1,Tasks[[#This Row],[_LeafProgress]]&lt;1,OR(N(Tasks[[#This Row],[Finish Var]])&gt;0,Tasks[[#This Row],[Status]]="Late Start")),MAX(0,Tasks[[#This Row],[Finish Var]])+1-Tasks[[#This Row],[_Row]]/1000000,"")</f>
        <v/>
      </c>
      <c r="EO87" s="41" t="str">
        <f aca="false">IF(AND(Tasks[[#This Row],[_IsLeaf]]=1,N(Tasks[[#This Row],[Actual Start]])=0,Tasks[[#This Row],[_ShownFcstStart]]&gt;=StatusDate,Tasks[[#This Row],[_ShownFcstStart]]&lt;=LookaheadEnd),Tasks[[#This Row],[_ShownFcstStart]]+Tasks[[#This Row],[_Row]]/100000,"")</f>
        <v/>
      </c>
      <c r="EP87" s="41" t="str">
        <f aca="false">IF(AND(Tasks[[#This Row],[_IsLeaf]]=1,Tasks[[#This Row],[_LeafProgress]]&lt;1,Tasks[[#This Row],[_ShownFcstFinish]]&gt;=StatusDate,Tasks[[#This Row],[_ShownFcstFinish]]&lt;=LookaheadEnd),Tasks[[#This Row],[_ShownFcstFinish]]+Tasks[[#This Row],[_Row]]/100000,"")</f>
        <v/>
      </c>
      <c r="EQ87" s="41" t="str">
        <f aca="false">IF(Tasks[[#This Row],[_LeafCritical]],Tasks[[#This Row],[_ShownFcstStart]]+Tasks[[#This Row],[_Row]]/100000,"")</f>
        <v/>
      </c>
      <c r="ER87" s="41" t="n">
        <f aca="false">Tasks[[#This Row],[_LeafWork]]*Tasks[[#This Row],[_LeafProgress]]</f>
        <v>0</v>
      </c>
      <c r="ES87" s="101" t="str">
        <f aca="false">IF(AND(Tasks[[#This Row],[_IsLeaf]]=1,Tasks[[#This Row],[_LeafProgress]]&gt;=1),IF(N(Tasks[[#This Row],[Actual Finish]])&gt;0,Tasks[[#This Row],[Actual Finish]],Tasks[[#This Row],[_ShownFcstFinish]]),"")</f>
        <v/>
      </c>
      <c r="ET87" s="41" t="n">
        <f aca="false">IF(Tasks[[#This Row],[_IsLeaf]]=1,N(Tasks[[#This Row],[Story Points]]),0)</f>
        <v>0</v>
      </c>
      <c r="EU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29"/>
      <c r="O88" s="29"/>
      <c r="P88" s="29"/>
      <c r="Q88" s="29"/>
      <c r="R88" s="29"/>
      <c r="S88" s="29"/>
      <c r="T88" s="30"/>
      <c r="U88" s="75"/>
      <c r="V88" s="75"/>
      <c r="W88" s="25" t="str">
        <f aca="false">IF(Tasks[[#This Row],[Task Name]]="","",IF(N(Tasks[[#This Row],[Baseline Start]])&gt;0,Tasks[[#This Row],[Baseline Start]],Tasks[[#This Row],[_CalcStart]]))</f>
        <v/>
      </c>
      <c r="X88" s="25" t="str">
        <f aca="false">IF(Tasks[[#This Row],[Task Name]]="","",IF(N(Tasks[[#This Row],[Baseline Finish]])&gt;0,Tasks[[#This Row],[Baseline Finish]],Tasks[[#This Row],[_CalcFinish]]))</f>
        <v/>
      </c>
      <c r="Y88" s="75"/>
      <c r="Z88" s="75"/>
      <c r="AA88" s="25" t="str">
        <f aca="false">IF(Tasks[[#This Row],[Task Name]]="","",IF(Tasks[[#This Row],[_IsSummary]],MIN(INDEX(Tasks[_ShownFcstStart],Tasks[[#This Row],[_Row]]+1):INDEX(Tasks[_ShownFcstStart],Tasks[[#This Row],[_Row]]+Tasks[[#This Row],[_Descendants]])),Tasks[[#This Row],[_ShownFcstStart]]))</f>
        <v/>
      </c>
      <c r="AB88" s="25" t="str">
        <f aca="false">IF(Tasks[[#This Row],[Task Name]]="","",IF(Tasks[[#This Row],[_IsSummary]],MAX(INDEX(Tasks[_ShownFcstFinish],Tasks[[#This Row],[_Row]]+1):INDEX(Tasks[_ShownFcstFinish],Tasks[[#This Row],[_Row]]+Tasks[[#This Row],[_Descendants]])),Tasks[[#This Row],[_ShownFcstFinish]]))</f>
        <v/>
      </c>
      <c r="AC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8" s="25" t="str">
        <f aca="false">IF(Tasks[[#This Row],[Task Name]]="","",IF(Tasks[[#This Row],[_IsSummary]],MIN(INDEX(Tasks[_LeafLateStart],Tasks[[#This Row],[_Row]]+1):INDEX(Tasks[_LeafLateStart],Tasks[[#This Row],[_Row]]+Tasks[[#This Row],[_Descendants]])),Tasks[[#This Row],[_LeafLateStart]]))</f>
        <v/>
      </c>
      <c r="AF88" s="25" t="str">
        <f aca="false">IF(Tasks[[#This Row],[Task Name]]="","",IF(Tasks[[#This Row],[_IsSummary]],MAX(INDEX(Tasks[_LeafLateFinish],Tasks[[#This Row],[_Row]]+1):INDEX(Tasks[_LeafLateFinish],Tasks[[#This Row],[_Row]]+Tasks[[#This Row],[_Descendants]])),Tasks[[#This Row],[_LeafLateFinish]]))</f>
        <v/>
      </c>
      <c r="AG88" s="28" t="str">
        <f aca="false">IF(Tasks[[#This Row],[Task Name]]="","",IF(Tasks[[#This Row],[_IsSummary]],MIN(INDEX(Tasks[_LeafTotalSlack],Tasks[[#This Row],[_Row]]+1):INDEX(Tasks[_LeafTotalSlack],Tasks[[#This Row],[_Row]]+Tasks[[#This Row],[_Descendants]])),Tasks[[#This Row],[_LeafTotalSlack]]))</f>
        <v/>
      </c>
      <c r="AH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8" s="28" t="str">
        <f aca="false">IF(Tasks[[#This Row],[Task Name]]="","",IF(IF(Tasks[[#This Row],[_IsSummary]],COUNTIF(INDEX(Tasks[_LeafCritical],Tasks[[#This Row],[_Row]]+1):INDEX(Tasks[_LeafCritical],Tasks[[#This Row],[_Row]]+Tasks[[#This Row],[_Descendants]]),TRUE())&gt;0,Tasks[[#This Row],[_LeafCritical]]),"Yes",""))</f>
        <v/>
      </c>
      <c r="AJ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8" s="89"/>
      <c r="AM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8" s="28" t="str">
        <f aca="false">IF(Tasks[[#This Row],[Task Name]]="","",IF(Tasks[[#This Row],[Progress]]&gt;=1,"Complete",IF(OR(N(Tasks[[#This Row],[Actual Start]])&gt;0,Tasks[[#This Row],[Progress]]&gt;0),IF(Tasks[[#This Row],[Finish Var]]&gt;0,"Behind","In Progress"),IF(Tasks[[#This Row],[Planned Start]]&lt;StatusDate,"Late Start","Not Started"))))</f>
        <v/>
      </c>
      <c r="AO88" s="30"/>
      <c r="AP88" s="89"/>
      <c r="AQ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8" s="96" t="str">
        <f aca="false">IF(Tasks[[#This Row],[Task Name]]="","",IF(Tasks[[#This Row],[_IsSummary]],SUM(INDEX(Tasks[_LeafTotalWork],Tasks[[#This Row],[_Row]]+1):INDEX(Tasks[_LeafTotalWork],Tasks[[#This Row],[_Row]]+Tasks[[#This Row],[_Descendants]])),Tasks[[#This Row],[_LeafTotalWork]]))</f>
        <v/>
      </c>
      <c r="AT88" s="97" t="str">
        <f aca="false">IF(Tasks[[#This Row],[Task Name]]="","",IF(Tasks[[#This Row],[_IsSummary]],SUM(INDEX(Tasks[_LeafTotalCost],Tasks[[#This Row],[_Row]]+1):INDEX(Tasks[_LeafTotalCost],Tasks[[#This Row],[_Row]]+Tasks[[#This Row],[_Descendants]])),Tasks[[#This Row],[_LeafTotalCost]]))</f>
        <v/>
      </c>
      <c r="AU88" s="98"/>
      <c r="AV88" s="29"/>
      <c r="AW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8" s="83"/>
      <c r="AY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8" s="30"/>
      <c r="BA88" s="25" t="str">
        <f aca="false">IF(Tasks[[#This Row],[Task Name]]="","",Tasks[[#This Row],[Forecast Start]])</f>
        <v/>
      </c>
      <c r="BB88" s="25" t="str">
        <f aca="false">IF(Tasks[[#This Row],[Task Name]]="","",Tasks[[#This Row],[Forecast Finish]])</f>
        <v/>
      </c>
      <c r="BC88" s="28" t="str">
        <f aca="false">IF(Tasks[[#This Row],[Task Name]]="","",IF(Tasks[[#This Row],[_IsSummary]],NETWORKDAYS.INTL(Tasks[[#This Row],[Forecast Start]],Tasks[[#This Row],[Forecast Finish]],WorkWeek,Holidays),N(Tasks[[#This Row],[Duration]])))</f>
        <v/>
      </c>
      <c r="BD88" s="96" t="str">
        <f aca="false">IF(Tasks[[#This Row],[Task Name]]="","",Tasks[[#This Row],[Work]])</f>
        <v/>
      </c>
      <c r="BE88" s="97" t="str">
        <f aca="false">IF(Tasks[[#This Row],[Task Name]]="","",Tasks[[#This Row],[Cost]])</f>
        <v/>
      </c>
      <c r="BF88" s="75"/>
      <c r="BG88" s="75"/>
      <c r="BH88" s="29"/>
      <c r="BI88" s="99"/>
      <c r="BJ88" s="98"/>
      <c r="BK88" s="28" t="str">
        <f aca="false">IF(OR(Tasks[[#This Row],[Task Name]]="",Tasks[[#This Row],[Baseline Duration]]=""),"",Tasks[[#This Row],[BL Source Duration]]-N(Tasks[[#This Row],[Baseline Duration]]))</f>
        <v/>
      </c>
      <c r="BL88" s="96" t="str">
        <f aca="false">IF(OR(Tasks[[#This Row],[Task Name]]="",Tasks[[#This Row],[Baseline Work]]=""),"",Tasks[[#This Row],[Work]]-N(Tasks[[#This Row],[Baseline Work]]))</f>
        <v/>
      </c>
      <c r="BM88" s="97" t="str">
        <f aca="false">IF(OR(Tasks[[#This Row],[Task Name]]="",Tasks[[#This Row],[Baseline Cost]]=""),"",Tasks[[#This Row],[Cost]]-N(Tasks[[#This Row],[Baseline Cost]]))</f>
        <v/>
      </c>
      <c r="BN88" s="97" t="str">
        <f aca="false">IF(Tasks[[#This Row],[Task Name]]="","",IF(Tasks[[#This Row],[_IsSummary]],SUM(INDEX(Tasks[_LeafBudget],Tasks[[#This Row],[_Row]]+1):INDEX(Tasks[_LeafBudget],Tasks[[#This Row],[_Row]]+Tasks[[#This Row],[_Descendants]])),Tasks[[#This Row],[_LeafBudget]]))</f>
        <v/>
      </c>
      <c r="BO88" s="97" t="str">
        <f aca="false">IF(Tasks[[#This Row],[Task Name]]="","",IF(Tasks[[#This Row],[_IsSummary]],SUM(INDEX(Tasks[_LeafPV],Tasks[[#This Row],[_Row]]+1):INDEX(Tasks[_LeafPV],Tasks[[#This Row],[_Row]]+Tasks[[#This Row],[_Descendants]])),Tasks[[#This Row],[_LeafPV]]))</f>
        <v/>
      </c>
      <c r="BP88" s="97" t="str">
        <f aca="false">IF(Tasks[[#This Row],[Task Name]]="","",IF(Tasks[[#This Row],[_IsSummary]],SUM(INDEX(Tasks[_LeafEV],Tasks[[#This Row],[_Row]]+1):INDEX(Tasks[_LeafEV],Tasks[[#This Row],[_Row]]+Tasks[[#This Row],[_Descendants]])),Tasks[[#This Row],[_LeafEV]]))</f>
        <v/>
      </c>
      <c r="BQ88" s="97" t="str">
        <f aca="false">IF(Tasks[[#This Row],[Task Name]]="","",IF(Tasks[[#This Row],[_IsSummary]],SUM(INDEX(Tasks[_LeafAC],Tasks[[#This Row],[_Row]]+1):INDEX(Tasks[_LeafAC],Tasks[[#This Row],[_Row]]+Tasks[[#This Row],[_Descendants]])),Tasks[[#This Row],[_LeafAC]]))</f>
        <v/>
      </c>
      <c r="BR88" s="41" t="str">
        <f aca="false">IF(Tasks[[#This Row],[Task Name]]="","",MAX(1,N(Tasks[[#This Row],[Level]])))</f>
        <v/>
      </c>
      <c r="BS88" s="41" t="n">
        <f aca="false">ROW()-ROW(Tasks[[#Headers],[ID]])</f>
        <v>83</v>
      </c>
      <c r="BT88" s="41" t="n">
        <f aca="false">IF(OR(Tasks[[#This Row],[Task Name]]="",Tasks[[#This Row],[_Level]]&lt;=1),0,IFERROR(LOOKUP(2,1/(Tasks[[#Headers],[_Level]]:Tasks[[#This Row],[_Level]]=Tasks[[#This Row],[_Level]]-1),ROW(Tasks[[#Headers],[_Level]]:Tasks[[#This Row],[_Level]])),0))</f>
        <v>0</v>
      </c>
      <c r="BU88" s="41" t="n">
        <f aca="false">IFERROR(N(INDEX(Tasks[_Level],Tasks[[#This Row],[_Row]]+1)),0)</f>
        <v>0</v>
      </c>
      <c r="BV88" s="100" t="b">
        <f aca="false">AND(Tasks[[#This Row],[Task Name]]&lt;&gt;"",Tasks[[#This Row],[_NextLevel]]&gt;Tasks[[#This Row],[_Level]])</f>
        <v>0</v>
      </c>
      <c r="BW88" s="41" t="n">
        <f aca="false">IF(Tasks[[#This Row],[_IsSummary]],COUNTIF(Tasks[WBS],Tasks[[#This Row],[WBS]]&amp;".*"),0)</f>
        <v>0</v>
      </c>
      <c r="BX88" s="41" t="n">
        <f aca="false">IF(AND(Tasks[[#This Row],[Task Name]]&lt;&gt;"",NOT(Tasks[[#This Row],[_IsSummary]])),1,0)</f>
        <v>0</v>
      </c>
      <c r="BY88" s="41" t="n">
        <f aca="false">IF(N(Tasks[[#This Row],[Pred1 UID]])=0,0,IFERROR(MATCH(Tasks[[#This Row],[Pred1 UID]],Tasks[UID],0),-1))</f>
        <v>0</v>
      </c>
      <c r="BZ88" s="41" t="n">
        <f aca="false">IF(N(Tasks[[#This Row],[Pred2 UID]])=0,0,IFERROR(MATCH(Tasks[[#This Row],[Pred2 UID]],Tasks[UID],0),-1))</f>
        <v>0</v>
      </c>
      <c r="CA88" s="41" t="n">
        <f aca="false">IF(N(Tasks[[#This Row],[Pred3 UID]])=0,0,IFERROR(MATCH(Tasks[[#This Row],[Pred3 UID]],Tasks[UID],0),-1))</f>
        <v>0</v>
      </c>
      <c r="CB88" s="41" t="n">
        <f aca="false">IF(N(Tasks[[#This Row],[Pred4 UID]])=0,0,IFERROR(MATCH(Tasks[[#This Row],[Pred4 UID]],Tasks[UID],0),-1))</f>
        <v>0</v>
      </c>
      <c r="CC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8" s="101" t="n">
        <f aca="false">IF(OR(Tasks[[#This Row],[_ConstraintCode]]=2,Tasks[[#This Row],[_ConstraintCode]]=3,Tasks[[#This Row],[_ConstraintCode]]=4,Tasks[[#This Row],[_ConstraintCode]]=6),Tasks[[#This Row],[_ConstraintStart]],0)</f>
        <v>0</v>
      </c>
      <c r="CF88" s="101" t="n">
        <f aca="false">IF(OR(Tasks[[#This Row],[_ConstraintCode]]=2,Tasks[[#This Row],[_ConstraintCode]]=3,Tasks[[#This Row],[_ConstraintCode]]=5,Tasks[[#This Row],[_ConstraintCode]]=7),Tasks[[#This Row],[_ConstraintStart]],2958465)</f>
        <v>2958465</v>
      </c>
      <c r="CG8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8" s="101" t="str">
        <f aca="false">IF(NOT(Tasks[[#This Row],[_IsLeaf]]=1),"",IF(N(Tasks[[#This Row],[Duration]])&lt;=0,Tasks[[#This Row],[_LeafCalcStart]],WORKDAY.INTL(Tasks[[#This Row],[_LeafCalcStart]],Tasks[[#This Row],[Duration]]-1,WorkWeek,Holidays)))</f>
        <v/>
      </c>
      <c r="CI8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8" s="41" t="n">
        <f aca="false">IF(NOT(Tasks[[#This Row],[_IsLeaf]]=1),0,IF(N(Tasks[[#This Row],[Actual Finish]])&gt;0,1,MIN(1,N(Tasks[[#This Row],[% Complete]]))))</f>
        <v>0</v>
      </c>
      <c r="CL88" s="41" t="n">
        <f aca="false">IF(OR(NOT(Tasks[[#This Row],[_IsLeaf]]=1),Tasks[[#This Row],[Resource]]=""),0,N(Tasks[[#This Row],[Duration]])*HoursPerDay*IF(Tasks[[#This Row],[Units]]="",DefaultUnits,Tasks[[#This Row],[Units]]))</f>
        <v>0</v>
      </c>
      <c r="CM88" s="41" t="n">
        <f aca="false">IF(Tasks[[#This Row],[_LeafWork]]=0,0,Tasks[[#This Row],[_LeafWork]]*IFERROR(INDEX(res_Rate,MATCH(Tasks[[#This Row],[Resource]],res_Name,0)),0))</f>
        <v>0</v>
      </c>
      <c r="CN88" s="41" t="n">
        <f aca="false">Tasks[[#This Row],[_LeafWork]]+IF(Tasks[[#This Row],[_IsLeaf]]=1,SUMIFS(asg_Work,asg_TaskUID,Tasks[[#This Row],[UID]],asg_Valid,1),0)</f>
        <v>0</v>
      </c>
      <c r="CO88" s="41" t="n">
        <f aca="false">Tasks[[#This Row],[_LeafCost]]+IF(Tasks[[#This Row],[_IsLeaf]]=1,SUMIFS(asg_Cost,asg_TaskUID,Tasks[[#This Row],[UID]],asg_Valid,1),0)</f>
        <v>0</v>
      </c>
      <c r="CP88" s="41" t="n">
        <f aca="false">IF(Tasks[[#This Row],[_LeafTotalCost]]=0,Tasks[[#This Row],[_LeafAC]],Tasks[[#This Row],[_LeafAC]]*Tasks[[#This Row],[_LeafCost]]/Tasks[[#This Row],[_LeafTotalCost]])</f>
        <v>0</v>
      </c>
      <c r="CQ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8" s="41" t="n">
        <f aca="false">IF(NOT(Tasks[[#This Row],[_IsLeaf]]=1),0,MAX(_xlfn.MAXIFS(Tasks[_Row],Tasks[Pred1 UID],Tasks[[#This Row],[UID]]),_xlfn.MAXIFS(Tasks[_Row],Tasks[Pred2 UID],Tasks[[#This Row],[UID]]),_xlfn.MAXIFS(Tasks[_Row],Tasks[Pred3 UID],Tasks[[#This Row],[UID]]),_xlfn.MAXIFS(Tasks[_Row],Tasks[Pred4 UID],Tasks[[#This Row],[UID]])))</f>
        <v>0</v>
      </c>
      <c r="CZ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8" s="101" t="str">
        <f aca="false">IF(NOT(Tasks[[#This Row],[_IsLeaf]]=1),"",IF(N(Tasks[[#This Row],[Duration]])&lt;=0,Tasks[[#This Row],[_LeafLateFinish]],WORKDAY.INTL(Tasks[[#This Row],[_LeafLateFinish]],-(Tasks[[#This Row],[Duration]]-1),WorkWeek,Holidays)))</f>
        <v/>
      </c>
      <c r="DC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8" s="100" t="b">
        <f aca="false">AND(Tasks[[#This Row],[_IsLeaf]]=1,Tasks[[#This Row],[_LeafProgress]]&lt;1,N(Tasks[[#This Row],[_LeafTotalSlack]])&lt;=CriticalSlackDays)</f>
        <v>0</v>
      </c>
      <c r="DE88" s="41" t="n">
        <f aca="false">IF(AND(Tasks[[#This Row],[_IsLeaf]]=1,Tasks[[#This Row],[_ConstraintCode]]=1,Tasks[[#This Row],[Mode]]&lt;&gt;"Manual",N(Tasks[[#This Row],[Actual Start]])=0),MAX(0,N(Tasks[[#This Row],[Free Slack]])),0)</f>
        <v>0</v>
      </c>
      <c r="DF88" s="101" t="str">
        <f aca="false">IF(NOT(Tasks[[#This Row],[_IsLeaf]]=1),"",IF(Tasks[[#This Row],[_AlapShift]]=0,Tasks[[#This Row],[_LeafCalcStart]],WORKDAY.INTL(Tasks[[#This Row],[_LeafCalcStart]],Tasks[[#This Row],[_AlapShift]],WorkWeek,Holidays)))</f>
        <v/>
      </c>
      <c r="DG88" s="101" t="str">
        <f aca="false">IF(NOT(Tasks[[#This Row],[_IsLeaf]]=1),"",IF(Tasks[[#This Row],[_AlapShift]]=0,Tasks[[#This Row],[_LeafCalcFinish]],WORKDAY.INTL(Tasks[[#This Row],[_LeafCalcFinish]],Tasks[[#This Row],[_AlapShift]],WorkWeek,Holidays)))</f>
        <v/>
      </c>
      <c r="DH88" s="101" t="str">
        <f aca="false">IF(NOT(Tasks[[#This Row],[_IsLeaf]]=1),"",IF(Tasks[[#This Row],[_AlapShift]]=0,Tasks[[#This Row],[_LeafFcstStart]],WORKDAY.INTL(Tasks[[#This Row],[_LeafFcstStart]],Tasks[[#This Row],[_AlapShift]],WorkWeek,Holidays)))</f>
        <v/>
      </c>
      <c r="DI88" s="101" t="str">
        <f aca="false">IF(NOT(Tasks[[#This Row],[_IsLeaf]]=1),"",IF(Tasks[[#This Row],[_AlapShift]]=0,Tasks[[#This Row],[_LeafFcstFinish]],WORKDAY.INTL(Tasks[[#This Row],[_LeafFcstFinish]],Tasks[[#This Row],[_AlapShift]],WorkWeek,Holidays)))</f>
        <v/>
      </c>
      <c r="DJ88" s="101" t="str">
        <f aca="false">IF(Tasks[[#This Row],[Task Name]]="","",IF(Tasks[[#This Row],[_IsSummary]],MIN(INDEX(Tasks[_ShownCalcStart],Tasks[[#This Row],[_Row]]+1):INDEX(Tasks[_ShownCalcStart],Tasks[[#This Row],[_Row]]+Tasks[[#This Row],[_Descendants]])),Tasks[[#This Row],[_ShownCalcStart]]))</f>
        <v/>
      </c>
      <c r="DK88" s="101" t="str">
        <f aca="false">IF(Tasks[[#This Row],[Task Name]]="","",IF(Tasks[[#This Row],[_IsSummary]],MAX(INDEX(Tasks[_ShownCalcFinish],Tasks[[#This Row],[_Row]]+1):INDEX(Tasks[_ShownCalcFinish],Tasks[[#This Row],[_Row]]+Tasks[[#This Row],[_Descendants]])),Tasks[[#This Row],[_ShownCalcFinish]]))</f>
        <v/>
      </c>
      <c r="D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8" s="41" t="n">
        <f aca="false">IF(AND(Tasks[[#This Row],[_IsLeaf]]=1,Tasks[[#This Row],[_LeafTotalWork]]&gt;0),NETWORKDAYS.INTL(ProjectStart,Tasks[[#This Row],[_ShownFcstStart]],WorkWeek,Holidays),0)</f>
        <v>0</v>
      </c>
      <c r="DY88" s="41" t="n">
        <f aca="false">IF(AND(Tasks[[#This Row],[_IsLeaf]]=1,Tasks[[#This Row],[_LeafTotalWork]]&gt;0),MAX(Tasks[[#This Row],[_StartWorkday]],NETWORKDAYS.INTL(ProjectStart,Tasks[[#This Row],[_ShownFcstFinish]],WorkWeek,Holidays)),0)</f>
        <v>0</v>
      </c>
      <c r="DZ88" s="41" t="n">
        <f aca="false">IF(AND(Tasks[[#This Row],[_IsLeaf]]=1,Tasks[[#This Row],[_LeafTotalWork]]&gt;0),Tasks[[#This Row],[_LeafWork]]/(Tasks[[#This Row],[_FinishWorkday]]-Tasks[[#This Row],[_StartWorkday]]+1),0)</f>
        <v>0</v>
      </c>
      <c r="EA88" s="41" t="n">
        <f aca="false">Tasks[[#This Row],[_WorkPerWorkday]]*(Tasks[[#This Row],[_StartWorkday]]-1)</f>
        <v>-0</v>
      </c>
      <c r="EB88" s="41" t="n">
        <f aca="false">IF(Tasks[[#This Row],[_IsLeaf]]=1,MAX(N(Tasks[[#This Row],[Duration]]),0.1),0)</f>
        <v>0</v>
      </c>
      <c r="EC88" s="41" t="n">
        <f aca="false">Tasks[[#This Row],[_WeightDur]]*Tasks[[#This Row],[_LeafProgress]]</f>
        <v>0</v>
      </c>
      <c r="ED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8" s="41" t="str">
        <f aca="false">IF(AND(Tasks[[#This Row],[_IsLeaf]]=1,N(Tasks[[#This Row],[Duration]])=0,Tasks[[#This Row],[_LeafProgress]]&lt;1),Tasks[[#This Row],[_ShownFcstFinish]]+Tasks[[#This Row],[_Row]]/100000,"")</f>
        <v/>
      </c>
      <c r="EF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8" s="41" t="n">
        <f aca="false">IF(NOT(Tasks[[#This Row],[_IsLeaf]]=1),0,IF(Tasks[[#This Row],[Baseline Cost]]="",Tasks[[#This Row],[_LeafTotalCost]],N(Tasks[[#This Row],[Baseline Cost]])))</f>
        <v>0</v>
      </c>
      <c r="EH88" s="41" t="n">
        <f aca="false">Tasks[[#This Row],[_LeafBudget]]*Tasks[[#This Row],[_PlannedPct]]</f>
        <v>0</v>
      </c>
      <c r="EI88" s="41" t="n">
        <f aca="false">Tasks[[#This Row],[_LeafBudget]]*Tasks[[#This Row],[_LeafProgress]]</f>
        <v>0</v>
      </c>
      <c r="EJ88" s="41" t="n">
        <f aca="false">IF(NOT(Tasks[[#This Row],[_IsLeaf]]=1),0,IF(Tasks[[#This Row],[Actual Cost]]="",Tasks[[#This Row],[_LeafTotalCost]]*Tasks[[#This Row],[_LeafProgress]],N(Tasks[[#This Row],[Actual Cost]])))</f>
        <v>0</v>
      </c>
      <c r="EK88" s="41" t="str">
        <f aca="false">IF(Tasks[[#This Row],[Task Name]]="","",LEFT(Tasks[[#This Row],[WBS]],FIND(".",Tasks[[#This Row],[WBS]]&amp;".")-1))</f>
        <v/>
      </c>
      <c r="EL88" s="41" t="str">
        <f aca="false">IF(AND(Tasks[[#This Row],[Task Name]]&lt;&gt;"",Tasks[[#This Row],[_Level]]=1),Tasks[[#This Row],[_Row]],"")</f>
        <v/>
      </c>
      <c r="EM88" s="41" t="str">
        <f aca="false">IF(AND(Tasks[[#This Row],[_IsLeaf]]=1,N(Tasks[[#This Row],[Duration]])=0),Tasks[[#This Row],[Planned Finish]]+Tasks[[#This Row],[_Row]]/100000,"")</f>
        <v/>
      </c>
      <c r="EN88" s="41" t="str">
        <f aca="false">IF(AND(Tasks[[#This Row],[_IsLeaf]]=1,Tasks[[#This Row],[_LeafProgress]]&lt;1,OR(N(Tasks[[#This Row],[Finish Var]])&gt;0,Tasks[[#This Row],[Status]]="Late Start")),MAX(0,Tasks[[#This Row],[Finish Var]])+1-Tasks[[#This Row],[_Row]]/1000000,"")</f>
        <v/>
      </c>
      <c r="EO88" s="41" t="str">
        <f aca="false">IF(AND(Tasks[[#This Row],[_IsLeaf]]=1,N(Tasks[[#This Row],[Actual Start]])=0,Tasks[[#This Row],[_ShownFcstStart]]&gt;=StatusDate,Tasks[[#This Row],[_ShownFcstStart]]&lt;=LookaheadEnd),Tasks[[#This Row],[_ShownFcstStart]]+Tasks[[#This Row],[_Row]]/100000,"")</f>
        <v/>
      </c>
      <c r="EP88" s="41" t="str">
        <f aca="false">IF(AND(Tasks[[#This Row],[_IsLeaf]]=1,Tasks[[#This Row],[_LeafProgress]]&lt;1,Tasks[[#This Row],[_ShownFcstFinish]]&gt;=StatusDate,Tasks[[#This Row],[_ShownFcstFinish]]&lt;=LookaheadEnd),Tasks[[#This Row],[_ShownFcstFinish]]+Tasks[[#This Row],[_Row]]/100000,"")</f>
        <v/>
      </c>
      <c r="EQ88" s="41" t="str">
        <f aca="false">IF(Tasks[[#This Row],[_LeafCritical]],Tasks[[#This Row],[_ShownFcstStart]]+Tasks[[#This Row],[_Row]]/100000,"")</f>
        <v/>
      </c>
      <c r="ER88" s="41" t="n">
        <f aca="false">Tasks[[#This Row],[_LeafWork]]*Tasks[[#This Row],[_LeafProgress]]</f>
        <v>0</v>
      </c>
      <c r="ES88" s="101" t="str">
        <f aca="false">IF(AND(Tasks[[#This Row],[_IsLeaf]]=1,Tasks[[#This Row],[_LeafProgress]]&gt;=1),IF(N(Tasks[[#This Row],[Actual Finish]])&gt;0,Tasks[[#This Row],[Actual Finish]],Tasks[[#This Row],[_ShownFcstFinish]]),"")</f>
        <v/>
      </c>
      <c r="ET88" s="41" t="n">
        <f aca="false">IF(Tasks[[#This Row],[_IsLeaf]]=1,N(Tasks[[#This Row],[Story Points]]),0)</f>
        <v>0</v>
      </c>
      <c r="EU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29"/>
      <c r="O89" s="29"/>
      <c r="P89" s="29"/>
      <c r="Q89" s="29"/>
      <c r="R89" s="29"/>
      <c r="S89" s="29"/>
      <c r="T89" s="30"/>
      <c r="U89" s="75"/>
      <c r="V89" s="75"/>
      <c r="W89" s="25" t="str">
        <f aca="false">IF(Tasks[[#This Row],[Task Name]]="","",IF(N(Tasks[[#This Row],[Baseline Start]])&gt;0,Tasks[[#This Row],[Baseline Start]],Tasks[[#This Row],[_CalcStart]]))</f>
        <v/>
      </c>
      <c r="X89" s="25" t="str">
        <f aca="false">IF(Tasks[[#This Row],[Task Name]]="","",IF(N(Tasks[[#This Row],[Baseline Finish]])&gt;0,Tasks[[#This Row],[Baseline Finish]],Tasks[[#This Row],[_CalcFinish]]))</f>
        <v/>
      </c>
      <c r="Y89" s="75"/>
      <c r="Z89" s="75"/>
      <c r="AA89" s="25" t="str">
        <f aca="false">IF(Tasks[[#This Row],[Task Name]]="","",IF(Tasks[[#This Row],[_IsSummary]],MIN(INDEX(Tasks[_ShownFcstStart],Tasks[[#This Row],[_Row]]+1):INDEX(Tasks[_ShownFcstStart],Tasks[[#This Row],[_Row]]+Tasks[[#This Row],[_Descendants]])),Tasks[[#This Row],[_ShownFcstStart]]))</f>
        <v/>
      </c>
      <c r="AB89" s="25" t="str">
        <f aca="false">IF(Tasks[[#This Row],[Task Name]]="","",IF(Tasks[[#This Row],[_IsSummary]],MAX(INDEX(Tasks[_ShownFcstFinish],Tasks[[#This Row],[_Row]]+1):INDEX(Tasks[_ShownFcstFinish],Tasks[[#This Row],[_Row]]+Tasks[[#This Row],[_Descendants]])),Tasks[[#This Row],[_ShownFcstFinish]]))</f>
        <v/>
      </c>
      <c r="AC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9" s="25" t="str">
        <f aca="false">IF(Tasks[[#This Row],[Task Name]]="","",IF(Tasks[[#This Row],[_IsSummary]],MIN(INDEX(Tasks[_LeafLateStart],Tasks[[#This Row],[_Row]]+1):INDEX(Tasks[_LeafLateStart],Tasks[[#This Row],[_Row]]+Tasks[[#This Row],[_Descendants]])),Tasks[[#This Row],[_LeafLateStart]]))</f>
        <v/>
      </c>
      <c r="AF89" s="25" t="str">
        <f aca="false">IF(Tasks[[#This Row],[Task Name]]="","",IF(Tasks[[#This Row],[_IsSummary]],MAX(INDEX(Tasks[_LeafLateFinish],Tasks[[#This Row],[_Row]]+1):INDEX(Tasks[_LeafLateFinish],Tasks[[#This Row],[_Row]]+Tasks[[#This Row],[_Descendants]])),Tasks[[#This Row],[_LeafLateFinish]]))</f>
        <v/>
      </c>
      <c r="AG89" s="28" t="str">
        <f aca="false">IF(Tasks[[#This Row],[Task Name]]="","",IF(Tasks[[#This Row],[_IsSummary]],MIN(INDEX(Tasks[_LeafTotalSlack],Tasks[[#This Row],[_Row]]+1):INDEX(Tasks[_LeafTotalSlack],Tasks[[#This Row],[_Row]]+Tasks[[#This Row],[_Descendants]])),Tasks[[#This Row],[_LeafTotalSlack]]))</f>
        <v/>
      </c>
      <c r="AH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9" s="28" t="str">
        <f aca="false">IF(Tasks[[#This Row],[Task Name]]="","",IF(IF(Tasks[[#This Row],[_IsSummary]],COUNTIF(INDEX(Tasks[_LeafCritical],Tasks[[#This Row],[_Row]]+1):INDEX(Tasks[_LeafCritical],Tasks[[#This Row],[_Row]]+Tasks[[#This Row],[_Descendants]]),TRUE())&gt;0,Tasks[[#This Row],[_LeafCritical]]),"Yes",""))</f>
        <v/>
      </c>
      <c r="AJ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9" s="89"/>
      <c r="AM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9" s="28" t="str">
        <f aca="false">IF(Tasks[[#This Row],[Task Name]]="","",IF(Tasks[[#This Row],[Progress]]&gt;=1,"Complete",IF(OR(N(Tasks[[#This Row],[Actual Start]])&gt;0,Tasks[[#This Row],[Progress]]&gt;0),IF(Tasks[[#This Row],[Finish Var]]&gt;0,"Behind","In Progress"),IF(Tasks[[#This Row],[Planned Start]]&lt;StatusDate,"Late Start","Not Started"))))</f>
        <v/>
      </c>
      <c r="AO89" s="30"/>
      <c r="AP89" s="89"/>
      <c r="AQ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9" s="96" t="str">
        <f aca="false">IF(Tasks[[#This Row],[Task Name]]="","",IF(Tasks[[#This Row],[_IsSummary]],SUM(INDEX(Tasks[_LeafTotalWork],Tasks[[#This Row],[_Row]]+1):INDEX(Tasks[_LeafTotalWork],Tasks[[#This Row],[_Row]]+Tasks[[#This Row],[_Descendants]])),Tasks[[#This Row],[_LeafTotalWork]]))</f>
        <v/>
      </c>
      <c r="AT89" s="97" t="str">
        <f aca="false">IF(Tasks[[#This Row],[Task Name]]="","",IF(Tasks[[#This Row],[_IsSummary]],SUM(INDEX(Tasks[_LeafTotalCost],Tasks[[#This Row],[_Row]]+1):INDEX(Tasks[_LeafTotalCost],Tasks[[#This Row],[_Row]]+Tasks[[#This Row],[_Descendants]])),Tasks[[#This Row],[_LeafTotalCost]]))</f>
        <v/>
      </c>
      <c r="AU89" s="98"/>
      <c r="AV89" s="29"/>
      <c r="AW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9" s="83"/>
      <c r="AY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9" s="30"/>
      <c r="BA89" s="25" t="str">
        <f aca="false">IF(Tasks[[#This Row],[Task Name]]="","",Tasks[[#This Row],[Forecast Start]])</f>
        <v/>
      </c>
      <c r="BB89" s="25" t="str">
        <f aca="false">IF(Tasks[[#This Row],[Task Name]]="","",Tasks[[#This Row],[Forecast Finish]])</f>
        <v/>
      </c>
      <c r="BC89" s="28" t="str">
        <f aca="false">IF(Tasks[[#This Row],[Task Name]]="","",IF(Tasks[[#This Row],[_IsSummary]],NETWORKDAYS.INTL(Tasks[[#This Row],[Forecast Start]],Tasks[[#This Row],[Forecast Finish]],WorkWeek,Holidays),N(Tasks[[#This Row],[Duration]])))</f>
        <v/>
      </c>
      <c r="BD89" s="96" t="str">
        <f aca="false">IF(Tasks[[#This Row],[Task Name]]="","",Tasks[[#This Row],[Work]])</f>
        <v/>
      </c>
      <c r="BE89" s="97" t="str">
        <f aca="false">IF(Tasks[[#This Row],[Task Name]]="","",Tasks[[#This Row],[Cost]])</f>
        <v/>
      </c>
      <c r="BF89" s="75"/>
      <c r="BG89" s="75"/>
      <c r="BH89" s="29"/>
      <c r="BI89" s="99"/>
      <c r="BJ89" s="98"/>
      <c r="BK89" s="28" t="str">
        <f aca="false">IF(OR(Tasks[[#This Row],[Task Name]]="",Tasks[[#This Row],[Baseline Duration]]=""),"",Tasks[[#This Row],[BL Source Duration]]-N(Tasks[[#This Row],[Baseline Duration]]))</f>
        <v/>
      </c>
      <c r="BL89" s="96" t="str">
        <f aca="false">IF(OR(Tasks[[#This Row],[Task Name]]="",Tasks[[#This Row],[Baseline Work]]=""),"",Tasks[[#This Row],[Work]]-N(Tasks[[#This Row],[Baseline Work]]))</f>
        <v/>
      </c>
      <c r="BM89" s="97" t="str">
        <f aca="false">IF(OR(Tasks[[#This Row],[Task Name]]="",Tasks[[#This Row],[Baseline Cost]]=""),"",Tasks[[#This Row],[Cost]]-N(Tasks[[#This Row],[Baseline Cost]]))</f>
        <v/>
      </c>
      <c r="BN89" s="97" t="str">
        <f aca="false">IF(Tasks[[#This Row],[Task Name]]="","",IF(Tasks[[#This Row],[_IsSummary]],SUM(INDEX(Tasks[_LeafBudget],Tasks[[#This Row],[_Row]]+1):INDEX(Tasks[_LeafBudget],Tasks[[#This Row],[_Row]]+Tasks[[#This Row],[_Descendants]])),Tasks[[#This Row],[_LeafBudget]]))</f>
        <v/>
      </c>
      <c r="BO89" s="97" t="str">
        <f aca="false">IF(Tasks[[#This Row],[Task Name]]="","",IF(Tasks[[#This Row],[_IsSummary]],SUM(INDEX(Tasks[_LeafPV],Tasks[[#This Row],[_Row]]+1):INDEX(Tasks[_LeafPV],Tasks[[#This Row],[_Row]]+Tasks[[#This Row],[_Descendants]])),Tasks[[#This Row],[_LeafPV]]))</f>
        <v/>
      </c>
      <c r="BP89" s="97" t="str">
        <f aca="false">IF(Tasks[[#This Row],[Task Name]]="","",IF(Tasks[[#This Row],[_IsSummary]],SUM(INDEX(Tasks[_LeafEV],Tasks[[#This Row],[_Row]]+1):INDEX(Tasks[_LeafEV],Tasks[[#This Row],[_Row]]+Tasks[[#This Row],[_Descendants]])),Tasks[[#This Row],[_LeafEV]]))</f>
        <v/>
      </c>
      <c r="BQ89" s="97" t="str">
        <f aca="false">IF(Tasks[[#This Row],[Task Name]]="","",IF(Tasks[[#This Row],[_IsSummary]],SUM(INDEX(Tasks[_LeafAC],Tasks[[#This Row],[_Row]]+1):INDEX(Tasks[_LeafAC],Tasks[[#This Row],[_Row]]+Tasks[[#This Row],[_Descendants]])),Tasks[[#This Row],[_LeafAC]]))</f>
        <v/>
      </c>
      <c r="BR89" s="41" t="str">
        <f aca="false">IF(Tasks[[#This Row],[Task Name]]="","",MAX(1,N(Tasks[[#This Row],[Level]])))</f>
        <v/>
      </c>
      <c r="BS89" s="41" t="n">
        <f aca="false">ROW()-ROW(Tasks[[#Headers],[ID]])</f>
        <v>84</v>
      </c>
      <c r="BT89" s="41" t="n">
        <f aca="false">IF(OR(Tasks[[#This Row],[Task Name]]="",Tasks[[#This Row],[_Level]]&lt;=1),0,IFERROR(LOOKUP(2,1/(Tasks[[#Headers],[_Level]]:Tasks[[#This Row],[_Level]]=Tasks[[#This Row],[_Level]]-1),ROW(Tasks[[#Headers],[_Level]]:Tasks[[#This Row],[_Level]])),0))</f>
        <v>0</v>
      </c>
      <c r="BU89" s="41" t="n">
        <f aca="false">IFERROR(N(INDEX(Tasks[_Level],Tasks[[#This Row],[_Row]]+1)),0)</f>
        <v>0</v>
      </c>
      <c r="BV89" s="100" t="b">
        <f aca="false">AND(Tasks[[#This Row],[Task Name]]&lt;&gt;"",Tasks[[#This Row],[_NextLevel]]&gt;Tasks[[#This Row],[_Level]])</f>
        <v>0</v>
      </c>
      <c r="BW89" s="41" t="n">
        <f aca="false">IF(Tasks[[#This Row],[_IsSummary]],COUNTIF(Tasks[WBS],Tasks[[#This Row],[WBS]]&amp;".*"),0)</f>
        <v>0</v>
      </c>
      <c r="BX89" s="41" t="n">
        <f aca="false">IF(AND(Tasks[[#This Row],[Task Name]]&lt;&gt;"",NOT(Tasks[[#This Row],[_IsSummary]])),1,0)</f>
        <v>0</v>
      </c>
      <c r="BY89" s="41" t="n">
        <f aca="false">IF(N(Tasks[[#This Row],[Pred1 UID]])=0,0,IFERROR(MATCH(Tasks[[#This Row],[Pred1 UID]],Tasks[UID],0),-1))</f>
        <v>0</v>
      </c>
      <c r="BZ89" s="41" t="n">
        <f aca="false">IF(N(Tasks[[#This Row],[Pred2 UID]])=0,0,IFERROR(MATCH(Tasks[[#This Row],[Pred2 UID]],Tasks[UID],0),-1))</f>
        <v>0</v>
      </c>
      <c r="CA89" s="41" t="n">
        <f aca="false">IF(N(Tasks[[#This Row],[Pred3 UID]])=0,0,IFERROR(MATCH(Tasks[[#This Row],[Pred3 UID]],Tasks[UID],0),-1))</f>
        <v>0</v>
      </c>
      <c r="CB89" s="41" t="n">
        <f aca="false">IF(N(Tasks[[#This Row],[Pred4 UID]])=0,0,IFERROR(MATCH(Tasks[[#This Row],[Pred4 UID]],Tasks[UID],0),-1))</f>
        <v>0</v>
      </c>
      <c r="CC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9" s="101" t="n">
        <f aca="false">IF(OR(Tasks[[#This Row],[_ConstraintCode]]=2,Tasks[[#This Row],[_ConstraintCode]]=3,Tasks[[#This Row],[_ConstraintCode]]=4,Tasks[[#This Row],[_ConstraintCode]]=6),Tasks[[#This Row],[_ConstraintStart]],0)</f>
        <v>0</v>
      </c>
      <c r="CF89" s="101" t="n">
        <f aca="false">IF(OR(Tasks[[#This Row],[_ConstraintCode]]=2,Tasks[[#This Row],[_ConstraintCode]]=3,Tasks[[#This Row],[_ConstraintCode]]=5,Tasks[[#This Row],[_ConstraintCode]]=7),Tasks[[#This Row],[_ConstraintStart]],2958465)</f>
        <v>2958465</v>
      </c>
      <c r="CG8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9" s="101" t="str">
        <f aca="false">IF(NOT(Tasks[[#This Row],[_IsLeaf]]=1),"",IF(N(Tasks[[#This Row],[Duration]])&lt;=0,Tasks[[#This Row],[_LeafCalcStart]],WORKDAY.INTL(Tasks[[#This Row],[_LeafCalcStart]],Tasks[[#This Row],[Duration]]-1,WorkWeek,Holidays)))</f>
        <v/>
      </c>
      <c r="CI8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9" s="41" t="n">
        <f aca="false">IF(NOT(Tasks[[#This Row],[_IsLeaf]]=1),0,IF(N(Tasks[[#This Row],[Actual Finish]])&gt;0,1,MIN(1,N(Tasks[[#This Row],[% Complete]]))))</f>
        <v>0</v>
      </c>
      <c r="CL89" s="41" t="n">
        <f aca="false">IF(OR(NOT(Tasks[[#This Row],[_IsLeaf]]=1),Tasks[[#This Row],[Resource]]=""),0,N(Tasks[[#This Row],[Duration]])*HoursPerDay*IF(Tasks[[#This Row],[Units]]="",DefaultUnits,Tasks[[#This Row],[Units]]))</f>
        <v>0</v>
      </c>
      <c r="CM89" s="41" t="n">
        <f aca="false">IF(Tasks[[#This Row],[_LeafWork]]=0,0,Tasks[[#This Row],[_LeafWork]]*IFERROR(INDEX(res_Rate,MATCH(Tasks[[#This Row],[Resource]],res_Name,0)),0))</f>
        <v>0</v>
      </c>
      <c r="CN89" s="41" t="n">
        <f aca="false">Tasks[[#This Row],[_LeafWork]]+IF(Tasks[[#This Row],[_IsLeaf]]=1,SUMIFS(asg_Work,asg_TaskUID,Tasks[[#This Row],[UID]],asg_Valid,1),0)</f>
        <v>0</v>
      </c>
      <c r="CO89" s="41" t="n">
        <f aca="false">Tasks[[#This Row],[_LeafCost]]+IF(Tasks[[#This Row],[_IsLeaf]]=1,SUMIFS(asg_Cost,asg_TaskUID,Tasks[[#This Row],[UID]],asg_Valid,1),0)</f>
        <v>0</v>
      </c>
      <c r="CP89" s="41" t="n">
        <f aca="false">IF(Tasks[[#This Row],[_LeafTotalCost]]=0,Tasks[[#This Row],[_LeafAC]],Tasks[[#This Row],[_LeafAC]]*Tasks[[#This Row],[_LeafCost]]/Tasks[[#This Row],[_LeafTotalCost]])</f>
        <v>0</v>
      </c>
      <c r="CQ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9" s="41" t="n">
        <f aca="false">IF(NOT(Tasks[[#This Row],[_IsLeaf]]=1),0,MAX(_xlfn.MAXIFS(Tasks[_Row],Tasks[Pred1 UID],Tasks[[#This Row],[UID]]),_xlfn.MAXIFS(Tasks[_Row],Tasks[Pred2 UID],Tasks[[#This Row],[UID]]),_xlfn.MAXIFS(Tasks[_Row],Tasks[Pred3 UID],Tasks[[#This Row],[UID]]),_xlfn.MAXIFS(Tasks[_Row],Tasks[Pred4 UID],Tasks[[#This Row],[UID]])))</f>
        <v>0</v>
      </c>
      <c r="CZ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9" s="101" t="str">
        <f aca="false">IF(NOT(Tasks[[#This Row],[_IsLeaf]]=1),"",IF(N(Tasks[[#This Row],[Duration]])&lt;=0,Tasks[[#This Row],[_LeafLateFinish]],WORKDAY.INTL(Tasks[[#This Row],[_LeafLateFinish]],-(Tasks[[#This Row],[Duration]]-1),WorkWeek,Holidays)))</f>
        <v/>
      </c>
      <c r="DC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9" s="100" t="b">
        <f aca="false">AND(Tasks[[#This Row],[_IsLeaf]]=1,Tasks[[#This Row],[_LeafProgress]]&lt;1,N(Tasks[[#This Row],[_LeafTotalSlack]])&lt;=CriticalSlackDays)</f>
        <v>0</v>
      </c>
      <c r="DE89" s="41" t="n">
        <f aca="false">IF(AND(Tasks[[#This Row],[_IsLeaf]]=1,Tasks[[#This Row],[_ConstraintCode]]=1,Tasks[[#This Row],[Mode]]&lt;&gt;"Manual",N(Tasks[[#This Row],[Actual Start]])=0),MAX(0,N(Tasks[[#This Row],[Free Slack]])),0)</f>
        <v>0</v>
      </c>
      <c r="DF89" s="101" t="str">
        <f aca="false">IF(NOT(Tasks[[#This Row],[_IsLeaf]]=1),"",IF(Tasks[[#This Row],[_AlapShift]]=0,Tasks[[#This Row],[_LeafCalcStart]],WORKDAY.INTL(Tasks[[#This Row],[_LeafCalcStart]],Tasks[[#This Row],[_AlapShift]],WorkWeek,Holidays)))</f>
        <v/>
      </c>
      <c r="DG89" s="101" t="str">
        <f aca="false">IF(NOT(Tasks[[#This Row],[_IsLeaf]]=1),"",IF(Tasks[[#This Row],[_AlapShift]]=0,Tasks[[#This Row],[_LeafCalcFinish]],WORKDAY.INTL(Tasks[[#This Row],[_LeafCalcFinish]],Tasks[[#This Row],[_AlapShift]],WorkWeek,Holidays)))</f>
        <v/>
      </c>
      <c r="DH89" s="101" t="str">
        <f aca="false">IF(NOT(Tasks[[#This Row],[_IsLeaf]]=1),"",IF(Tasks[[#This Row],[_AlapShift]]=0,Tasks[[#This Row],[_LeafFcstStart]],WORKDAY.INTL(Tasks[[#This Row],[_LeafFcstStart]],Tasks[[#This Row],[_AlapShift]],WorkWeek,Holidays)))</f>
        <v/>
      </c>
      <c r="DI89" s="101" t="str">
        <f aca="false">IF(NOT(Tasks[[#This Row],[_IsLeaf]]=1),"",IF(Tasks[[#This Row],[_AlapShift]]=0,Tasks[[#This Row],[_LeafFcstFinish]],WORKDAY.INTL(Tasks[[#This Row],[_LeafFcstFinish]],Tasks[[#This Row],[_AlapShift]],WorkWeek,Holidays)))</f>
        <v/>
      </c>
      <c r="DJ89" s="101" t="str">
        <f aca="false">IF(Tasks[[#This Row],[Task Name]]="","",IF(Tasks[[#This Row],[_IsSummary]],MIN(INDEX(Tasks[_ShownCalcStart],Tasks[[#This Row],[_Row]]+1):INDEX(Tasks[_ShownCalcStart],Tasks[[#This Row],[_Row]]+Tasks[[#This Row],[_Descendants]])),Tasks[[#This Row],[_ShownCalcStart]]))</f>
        <v/>
      </c>
      <c r="DK89" s="101" t="str">
        <f aca="false">IF(Tasks[[#This Row],[Task Name]]="","",IF(Tasks[[#This Row],[_IsSummary]],MAX(INDEX(Tasks[_ShownCalcFinish],Tasks[[#This Row],[_Row]]+1):INDEX(Tasks[_ShownCalcFinish],Tasks[[#This Row],[_Row]]+Tasks[[#This Row],[_Descendants]])),Tasks[[#This Row],[_ShownCalcFinish]]))</f>
        <v/>
      </c>
      <c r="D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9" s="41" t="n">
        <f aca="false">IF(AND(Tasks[[#This Row],[_IsLeaf]]=1,Tasks[[#This Row],[_LeafTotalWork]]&gt;0),NETWORKDAYS.INTL(ProjectStart,Tasks[[#This Row],[_ShownFcstStart]],WorkWeek,Holidays),0)</f>
        <v>0</v>
      </c>
      <c r="DY89" s="41" t="n">
        <f aca="false">IF(AND(Tasks[[#This Row],[_IsLeaf]]=1,Tasks[[#This Row],[_LeafTotalWork]]&gt;0),MAX(Tasks[[#This Row],[_StartWorkday]],NETWORKDAYS.INTL(ProjectStart,Tasks[[#This Row],[_ShownFcstFinish]],WorkWeek,Holidays)),0)</f>
        <v>0</v>
      </c>
      <c r="DZ89" s="41" t="n">
        <f aca="false">IF(AND(Tasks[[#This Row],[_IsLeaf]]=1,Tasks[[#This Row],[_LeafTotalWork]]&gt;0),Tasks[[#This Row],[_LeafWork]]/(Tasks[[#This Row],[_FinishWorkday]]-Tasks[[#This Row],[_StartWorkday]]+1),0)</f>
        <v>0</v>
      </c>
      <c r="EA89" s="41" t="n">
        <f aca="false">Tasks[[#This Row],[_WorkPerWorkday]]*(Tasks[[#This Row],[_StartWorkday]]-1)</f>
        <v>-0</v>
      </c>
      <c r="EB89" s="41" t="n">
        <f aca="false">IF(Tasks[[#This Row],[_IsLeaf]]=1,MAX(N(Tasks[[#This Row],[Duration]]),0.1),0)</f>
        <v>0</v>
      </c>
      <c r="EC89" s="41" t="n">
        <f aca="false">Tasks[[#This Row],[_WeightDur]]*Tasks[[#This Row],[_LeafProgress]]</f>
        <v>0</v>
      </c>
      <c r="ED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9" s="41" t="str">
        <f aca="false">IF(AND(Tasks[[#This Row],[_IsLeaf]]=1,N(Tasks[[#This Row],[Duration]])=0,Tasks[[#This Row],[_LeafProgress]]&lt;1),Tasks[[#This Row],[_ShownFcstFinish]]+Tasks[[#This Row],[_Row]]/100000,"")</f>
        <v/>
      </c>
      <c r="EF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9" s="41" t="n">
        <f aca="false">IF(NOT(Tasks[[#This Row],[_IsLeaf]]=1),0,IF(Tasks[[#This Row],[Baseline Cost]]="",Tasks[[#This Row],[_LeafTotalCost]],N(Tasks[[#This Row],[Baseline Cost]])))</f>
        <v>0</v>
      </c>
      <c r="EH89" s="41" t="n">
        <f aca="false">Tasks[[#This Row],[_LeafBudget]]*Tasks[[#This Row],[_PlannedPct]]</f>
        <v>0</v>
      </c>
      <c r="EI89" s="41" t="n">
        <f aca="false">Tasks[[#This Row],[_LeafBudget]]*Tasks[[#This Row],[_LeafProgress]]</f>
        <v>0</v>
      </c>
      <c r="EJ89" s="41" t="n">
        <f aca="false">IF(NOT(Tasks[[#This Row],[_IsLeaf]]=1),0,IF(Tasks[[#This Row],[Actual Cost]]="",Tasks[[#This Row],[_LeafTotalCost]]*Tasks[[#This Row],[_LeafProgress]],N(Tasks[[#This Row],[Actual Cost]])))</f>
        <v>0</v>
      </c>
      <c r="EK89" s="41" t="str">
        <f aca="false">IF(Tasks[[#This Row],[Task Name]]="","",LEFT(Tasks[[#This Row],[WBS]],FIND(".",Tasks[[#This Row],[WBS]]&amp;".")-1))</f>
        <v/>
      </c>
      <c r="EL89" s="41" t="str">
        <f aca="false">IF(AND(Tasks[[#This Row],[Task Name]]&lt;&gt;"",Tasks[[#This Row],[_Level]]=1),Tasks[[#This Row],[_Row]],"")</f>
        <v/>
      </c>
      <c r="EM89" s="41" t="str">
        <f aca="false">IF(AND(Tasks[[#This Row],[_IsLeaf]]=1,N(Tasks[[#This Row],[Duration]])=0),Tasks[[#This Row],[Planned Finish]]+Tasks[[#This Row],[_Row]]/100000,"")</f>
        <v/>
      </c>
      <c r="EN89" s="41" t="str">
        <f aca="false">IF(AND(Tasks[[#This Row],[_IsLeaf]]=1,Tasks[[#This Row],[_LeafProgress]]&lt;1,OR(N(Tasks[[#This Row],[Finish Var]])&gt;0,Tasks[[#This Row],[Status]]="Late Start")),MAX(0,Tasks[[#This Row],[Finish Var]])+1-Tasks[[#This Row],[_Row]]/1000000,"")</f>
        <v/>
      </c>
      <c r="EO89" s="41" t="str">
        <f aca="false">IF(AND(Tasks[[#This Row],[_IsLeaf]]=1,N(Tasks[[#This Row],[Actual Start]])=0,Tasks[[#This Row],[_ShownFcstStart]]&gt;=StatusDate,Tasks[[#This Row],[_ShownFcstStart]]&lt;=LookaheadEnd),Tasks[[#This Row],[_ShownFcstStart]]+Tasks[[#This Row],[_Row]]/100000,"")</f>
        <v/>
      </c>
      <c r="EP89" s="41" t="str">
        <f aca="false">IF(AND(Tasks[[#This Row],[_IsLeaf]]=1,Tasks[[#This Row],[_LeafProgress]]&lt;1,Tasks[[#This Row],[_ShownFcstFinish]]&gt;=StatusDate,Tasks[[#This Row],[_ShownFcstFinish]]&lt;=LookaheadEnd),Tasks[[#This Row],[_ShownFcstFinish]]+Tasks[[#This Row],[_Row]]/100000,"")</f>
        <v/>
      </c>
      <c r="EQ89" s="41" t="str">
        <f aca="false">IF(Tasks[[#This Row],[_LeafCritical]],Tasks[[#This Row],[_ShownFcstStart]]+Tasks[[#This Row],[_Row]]/100000,"")</f>
        <v/>
      </c>
      <c r="ER89" s="41" t="n">
        <f aca="false">Tasks[[#This Row],[_LeafWork]]*Tasks[[#This Row],[_LeafProgress]]</f>
        <v>0</v>
      </c>
      <c r="ES89" s="101" t="str">
        <f aca="false">IF(AND(Tasks[[#This Row],[_IsLeaf]]=1,Tasks[[#This Row],[_LeafProgress]]&gt;=1),IF(N(Tasks[[#This Row],[Actual Finish]])&gt;0,Tasks[[#This Row],[Actual Finish]],Tasks[[#This Row],[_ShownFcstFinish]]),"")</f>
        <v/>
      </c>
      <c r="ET89" s="41" t="n">
        <f aca="false">IF(Tasks[[#This Row],[_IsLeaf]]=1,N(Tasks[[#This Row],[Story Points]]),0)</f>
        <v>0</v>
      </c>
      <c r="EU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29"/>
      <c r="O90" s="29"/>
      <c r="P90" s="29"/>
      <c r="Q90" s="29"/>
      <c r="R90" s="29"/>
      <c r="S90" s="29"/>
      <c r="T90" s="30"/>
      <c r="U90" s="75"/>
      <c r="V90" s="75"/>
      <c r="W90" s="25" t="str">
        <f aca="false">IF(Tasks[[#This Row],[Task Name]]="","",IF(N(Tasks[[#This Row],[Baseline Start]])&gt;0,Tasks[[#This Row],[Baseline Start]],Tasks[[#This Row],[_CalcStart]]))</f>
        <v/>
      </c>
      <c r="X90" s="25" t="str">
        <f aca="false">IF(Tasks[[#This Row],[Task Name]]="","",IF(N(Tasks[[#This Row],[Baseline Finish]])&gt;0,Tasks[[#This Row],[Baseline Finish]],Tasks[[#This Row],[_CalcFinish]]))</f>
        <v/>
      </c>
      <c r="Y90" s="75"/>
      <c r="Z90" s="75"/>
      <c r="AA90" s="25" t="str">
        <f aca="false">IF(Tasks[[#This Row],[Task Name]]="","",IF(Tasks[[#This Row],[_IsSummary]],MIN(INDEX(Tasks[_ShownFcstStart],Tasks[[#This Row],[_Row]]+1):INDEX(Tasks[_ShownFcstStart],Tasks[[#This Row],[_Row]]+Tasks[[#This Row],[_Descendants]])),Tasks[[#This Row],[_ShownFcstStart]]))</f>
        <v/>
      </c>
      <c r="AB90" s="25" t="str">
        <f aca="false">IF(Tasks[[#This Row],[Task Name]]="","",IF(Tasks[[#This Row],[_IsSummary]],MAX(INDEX(Tasks[_ShownFcstFinish],Tasks[[#This Row],[_Row]]+1):INDEX(Tasks[_ShownFcstFinish],Tasks[[#This Row],[_Row]]+Tasks[[#This Row],[_Descendants]])),Tasks[[#This Row],[_ShownFcstFinish]]))</f>
        <v/>
      </c>
      <c r="AC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0" s="25" t="str">
        <f aca="false">IF(Tasks[[#This Row],[Task Name]]="","",IF(Tasks[[#This Row],[_IsSummary]],MIN(INDEX(Tasks[_LeafLateStart],Tasks[[#This Row],[_Row]]+1):INDEX(Tasks[_LeafLateStart],Tasks[[#This Row],[_Row]]+Tasks[[#This Row],[_Descendants]])),Tasks[[#This Row],[_LeafLateStart]]))</f>
        <v/>
      </c>
      <c r="AF90" s="25" t="str">
        <f aca="false">IF(Tasks[[#This Row],[Task Name]]="","",IF(Tasks[[#This Row],[_IsSummary]],MAX(INDEX(Tasks[_LeafLateFinish],Tasks[[#This Row],[_Row]]+1):INDEX(Tasks[_LeafLateFinish],Tasks[[#This Row],[_Row]]+Tasks[[#This Row],[_Descendants]])),Tasks[[#This Row],[_LeafLateFinish]]))</f>
        <v/>
      </c>
      <c r="AG90" s="28" t="str">
        <f aca="false">IF(Tasks[[#This Row],[Task Name]]="","",IF(Tasks[[#This Row],[_IsSummary]],MIN(INDEX(Tasks[_LeafTotalSlack],Tasks[[#This Row],[_Row]]+1):INDEX(Tasks[_LeafTotalSlack],Tasks[[#This Row],[_Row]]+Tasks[[#This Row],[_Descendants]])),Tasks[[#This Row],[_LeafTotalSlack]]))</f>
        <v/>
      </c>
      <c r="AH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0" s="28" t="str">
        <f aca="false">IF(Tasks[[#This Row],[Task Name]]="","",IF(IF(Tasks[[#This Row],[_IsSummary]],COUNTIF(INDEX(Tasks[_LeafCritical],Tasks[[#This Row],[_Row]]+1):INDEX(Tasks[_LeafCritical],Tasks[[#This Row],[_Row]]+Tasks[[#This Row],[_Descendants]]),TRUE())&gt;0,Tasks[[#This Row],[_LeafCritical]]),"Yes",""))</f>
        <v/>
      </c>
      <c r="AJ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0" s="89"/>
      <c r="AM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0" s="28" t="str">
        <f aca="false">IF(Tasks[[#This Row],[Task Name]]="","",IF(Tasks[[#This Row],[Progress]]&gt;=1,"Complete",IF(OR(N(Tasks[[#This Row],[Actual Start]])&gt;0,Tasks[[#This Row],[Progress]]&gt;0),IF(Tasks[[#This Row],[Finish Var]]&gt;0,"Behind","In Progress"),IF(Tasks[[#This Row],[Planned Start]]&lt;StatusDate,"Late Start","Not Started"))))</f>
        <v/>
      </c>
      <c r="AO90" s="30"/>
      <c r="AP90" s="89"/>
      <c r="AQ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0" s="96" t="str">
        <f aca="false">IF(Tasks[[#This Row],[Task Name]]="","",IF(Tasks[[#This Row],[_IsSummary]],SUM(INDEX(Tasks[_LeafTotalWork],Tasks[[#This Row],[_Row]]+1):INDEX(Tasks[_LeafTotalWork],Tasks[[#This Row],[_Row]]+Tasks[[#This Row],[_Descendants]])),Tasks[[#This Row],[_LeafTotalWork]]))</f>
        <v/>
      </c>
      <c r="AT90" s="97" t="str">
        <f aca="false">IF(Tasks[[#This Row],[Task Name]]="","",IF(Tasks[[#This Row],[_IsSummary]],SUM(INDEX(Tasks[_LeafTotalCost],Tasks[[#This Row],[_Row]]+1):INDEX(Tasks[_LeafTotalCost],Tasks[[#This Row],[_Row]]+Tasks[[#This Row],[_Descendants]])),Tasks[[#This Row],[_LeafTotalCost]]))</f>
        <v/>
      </c>
      <c r="AU90" s="98"/>
      <c r="AV90" s="29"/>
      <c r="AW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0" s="83"/>
      <c r="AY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0" s="30"/>
      <c r="BA90" s="25" t="str">
        <f aca="false">IF(Tasks[[#This Row],[Task Name]]="","",Tasks[[#This Row],[Forecast Start]])</f>
        <v/>
      </c>
      <c r="BB90" s="25" t="str">
        <f aca="false">IF(Tasks[[#This Row],[Task Name]]="","",Tasks[[#This Row],[Forecast Finish]])</f>
        <v/>
      </c>
      <c r="BC90" s="28" t="str">
        <f aca="false">IF(Tasks[[#This Row],[Task Name]]="","",IF(Tasks[[#This Row],[_IsSummary]],NETWORKDAYS.INTL(Tasks[[#This Row],[Forecast Start]],Tasks[[#This Row],[Forecast Finish]],WorkWeek,Holidays),N(Tasks[[#This Row],[Duration]])))</f>
        <v/>
      </c>
      <c r="BD90" s="96" t="str">
        <f aca="false">IF(Tasks[[#This Row],[Task Name]]="","",Tasks[[#This Row],[Work]])</f>
        <v/>
      </c>
      <c r="BE90" s="97" t="str">
        <f aca="false">IF(Tasks[[#This Row],[Task Name]]="","",Tasks[[#This Row],[Cost]])</f>
        <v/>
      </c>
      <c r="BF90" s="75"/>
      <c r="BG90" s="75"/>
      <c r="BH90" s="29"/>
      <c r="BI90" s="99"/>
      <c r="BJ90" s="98"/>
      <c r="BK90" s="28" t="str">
        <f aca="false">IF(OR(Tasks[[#This Row],[Task Name]]="",Tasks[[#This Row],[Baseline Duration]]=""),"",Tasks[[#This Row],[BL Source Duration]]-N(Tasks[[#This Row],[Baseline Duration]]))</f>
        <v/>
      </c>
      <c r="BL90" s="96" t="str">
        <f aca="false">IF(OR(Tasks[[#This Row],[Task Name]]="",Tasks[[#This Row],[Baseline Work]]=""),"",Tasks[[#This Row],[Work]]-N(Tasks[[#This Row],[Baseline Work]]))</f>
        <v/>
      </c>
      <c r="BM90" s="97" t="str">
        <f aca="false">IF(OR(Tasks[[#This Row],[Task Name]]="",Tasks[[#This Row],[Baseline Cost]]=""),"",Tasks[[#This Row],[Cost]]-N(Tasks[[#This Row],[Baseline Cost]]))</f>
        <v/>
      </c>
      <c r="BN90" s="97" t="str">
        <f aca="false">IF(Tasks[[#This Row],[Task Name]]="","",IF(Tasks[[#This Row],[_IsSummary]],SUM(INDEX(Tasks[_LeafBudget],Tasks[[#This Row],[_Row]]+1):INDEX(Tasks[_LeafBudget],Tasks[[#This Row],[_Row]]+Tasks[[#This Row],[_Descendants]])),Tasks[[#This Row],[_LeafBudget]]))</f>
        <v/>
      </c>
      <c r="BO90" s="97" t="str">
        <f aca="false">IF(Tasks[[#This Row],[Task Name]]="","",IF(Tasks[[#This Row],[_IsSummary]],SUM(INDEX(Tasks[_LeafPV],Tasks[[#This Row],[_Row]]+1):INDEX(Tasks[_LeafPV],Tasks[[#This Row],[_Row]]+Tasks[[#This Row],[_Descendants]])),Tasks[[#This Row],[_LeafPV]]))</f>
        <v/>
      </c>
      <c r="BP90" s="97" t="str">
        <f aca="false">IF(Tasks[[#This Row],[Task Name]]="","",IF(Tasks[[#This Row],[_IsSummary]],SUM(INDEX(Tasks[_LeafEV],Tasks[[#This Row],[_Row]]+1):INDEX(Tasks[_LeafEV],Tasks[[#This Row],[_Row]]+Tasks[[#This Row],[_Descendants]])),Tasks[[#This Row],[_LeafEV]]))</f>
        <v/>
      </c>
      <c r="BQ90" s="97" t="str">
        <f aca="false">IF(Tasks[[#This Row],[Task Name]]="","",IF(Tasks[[#This Row],[_IsSummary]],SUM(INDEX(Tasks[_LeafAC],Tasks[[#This Row],[_Row]]+1):INDEX(Tasks[_LeafAC],Tasks[[#This Row],[_Row]]+Tasks[[#This Row],[_Descendants]])),Tasks[[#This Row],[_LeafAC]]))</f>
        <v/>
      </c>
      <c r="BR90" s="41" t="str">
        <f aca="false">IF(Tasks[[#This Row],[Task Name]]="","",MAX(1,N(Tasks[[#This Row],[Level]])))</f>
        <v/>
      </c>
      <c r="BS90" s="41" t="n">
        <f aca="false">ROW()-ROW(Tasks[[#Headers],[ID]])</f>
        <v>85</v>
      </c>
      <c r="BT90" s="41" t="n">
        <f aca="false">IF(OR(Tasks[[#This Row],[Task Name]]="",Tasks[[#This Row],[_Level]]&lt;=1),0,IFERROR(LOOKUP(2,1/(Tasks[[#Headers],[_Level]]:Tasks[[#This Row],[_Level]]=Tasks[[#This Row],[_Level]]-1),ROW(Tasks[[#Headers],[_Level]]:Tasks[[#This Row],[_Level]])),0))</f>
        <v>0</v>
      </c>
      <c r="BU90" s="41" t="n">
        <f aca="false">IFERROR(N(INDEX(Tasks[_Level],Tasks[[#This Row],[_Row]]+1)),0)</f>
        <v>0</v>
      </c>
      <c r="BV90" s="100" t="b">
        <f aca="false">AND(Tasks[[#This Row],[Task Name]]&lt;&gt;"",Tasks[[#This Row],[_NextLevel]]&gt;Tasks[[#This Row],[_Level]])</f>
        <v>0</v>
      </c>
      <c r="BW90" s="41" t="n">
        <f aca="false">IF(Tasks[[#This Row],[_IsSummary]],COUNTIF(Tasks[WBS],Tasks[[#This Row],[WBS]]&amp;".*"),0)</f>
        <v>0</v>
      </c>
      <c r="BX90" s="41" t="n">
        <f aca="false">IF(AND(Tasks[[#This Row],[Task Name]]&lt;&gt;"",NOT(Tasks[[#This Row],[_IsSummary]])),1,0)</f>
        <v>0</v>
      </c>
      <c r="BY90" s="41" t="n">
        <f aca="false">IF(N(Tasks[[#This Row],[Pred1 UID]])=0,0,IFERROR(MATCH(Tasks[[#This Row],[Pred1 UID]],Tasks[UID],0),-1))</f>
        <v>0</v>
      </c>
      <c r="BZ90" s="41" t="n">
        <f aca="false">IF(N(Tasks[[#This Row],[Pred2 UID]])=0,0,IFERROR(MATCH(Tasks[[#This Row],[Pred2 UID]],Tasks[UID],0),-1))</f>
        <v>0</v>
      </c>
      <c r="CA90" s="41" t="n">
        <f aca="false">IF(N(Tasks[[#This Row],[Pred3 UID]])=0,0,IFERROR(MATCH(Tasks[[#This Row],[Pred3 UID]],Tasks[UID],0),-1))</f>
        <v>0</v>
      </c>
      <c r="CB90" s="41" t="n">
        <f aca="false">IF(N(Tasks[[#This Row],[Pred4 UID]])=0,0,IFERROR(MATCH(Tasks[[#This Row],[Pred4 UID]],Tasks[UID],0),-1))</f>
        <v>0</v>
      </c>
      <c r="CC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0" s="101" t="n">
        <f aca="false">IF(OR(Tasks[[#This Row],[_ConstraintCode]]=2,Tasks[[#This Row],[_ConstraintCode]]=3,Tasks[[#This Row],[_ConstraintCode]]=4,Tasks[[#This Row],[_ConstraintCode]]=6),Tasks[[#This Row],[_ConstraintStart]],0)</f>
        <v>0</v>
      </c>
      <c r="CF90" s="101" t="n">
        <f aca="false">IF(OR(Tasks[[#This Row],[_ConstraintCode]]=2,Tasks[[#This Row],[_ConstraintCode]]=3,Tasks[[#This Row],[_ConstraintCode]]=5,Tasks[[#This Row],[_ConstraintCode]]=7),Tasks[[#This Row],[_ConstraintStart]],2958465)</f>
        <v>2958465</v>
      </c>
      <c r="CG9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0" s="101" t="str">
        <f aca="false">IF(NOT(Tasks[[#This Row],[_IsLeaf]]=1),"",IF(N(Tasks[[#This Row],[Duration]])&lt;=0,Tasks[[#This Row],[_LeafCalcStart]],WORKDAY.INTL(Tasks[[#This Row],[_LeafCalcStart]],Tasks[[#This Row],[Duration]]-1,WorkWeek,Holidays)))</f>
        <v/>
      </c>
      <c r="CI9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0" s="41" t="n">
        <f aca="false">IF(NOT(Tasks[[#This Row],[_IsLeaf]]=1),0,IF(N(Tasks[[#This Row],[Actual Finish]])&gt;0,1,MIN(1,N(Tasks[[#This Row],[% Complete]]))))</f>
        <v>0</v>
      </c>
      <c r="CL90" s="41" t="n">
        <f aca="false">IF(OR(NOT(Tasks[[#This Row],[_IsLeaf]]=1),Tasks[[#This Row],[Resource]]=""),0,N(Tasks[[#This Row],[Duration]])*HoursPerDay*IF(Tasks[[#This Row],[Units]]="",DefaultUnits,Tasks[[#This Row],[Units]]))</f>
        <v>0</v>
      </c>
      <c r="CM90" s="41" t="n">
        <f aca="false">IF(Tasks[[#This Row],[_LeafWork]]=0,0,Tasks[[#This Row],[_LeafWork]]*IFERROR(INDEX(res_Rate,MATCH(Tasks[[#This Row],[Resource]],res_Name,0)),0))</f>
        <v>0</v>
      </c>
      <c r="CN90" s="41" t="n">
        <f aca="false">Tasks[[#This Row],[_LeafWork]]+IF(Tasks[[#This Row],[_IsLeaf]]=1,SUMIFS(asg_Work,asg_TaskUID,Tasks[[#This Row],[UID]],asg_Valid,1),0)</f>
        <v>0</v>
      </c>
      <c r="CO90" s="41" t="n">
        <f aca="false">Tasks[[#This Row],[_LeafCost]]+IF(Tasks[[#This Row],[_IsLeaf]]=1,SUMIFS(asg_Cost,asg_TaskUID,Tasks[[#This Row],[UID]],asg_Valid,1),0)</f>
        <v>0</v>
      </c>
      <c r="CP90" s="41" t="n">
        <f aca="false">IF(Tasks[[#This Row],[_LeafTotalCost]]=0,Tasks[[#This Row],[_LeafAC]],Tasks[[#This Row],[_LeafAC]]*Tasks[[#This Row],[_LeafCost]]/Tasks[[#This Row],[_LeafTotalCost]])</f>
        <v>0</v>
      </c>
      <c r="CQ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0" s="41" t="n">
        <f aca="false">IF(NOT(Tasks[[#This Row],[_IsLeaf]]=1),0,MAX(_xlfn.MAXIFS(Tasks[_Row],Tasks[Pred1 UID],Tasks[[#This Row],[UID]]),_xlfn.MAXIFS(Tasks[_Row],Tasks[Pred2 UID],Tasks[[#This Row],[UID]]),_xlfn.MAXIFS(Tasks[_Row],Tasks[Pred3 UID],Tasks[[#This Row],[UID]]),_xlfn.MAXIFS(Tasks[_Row],Tasks[Pred4 UID],Tasks[[#This Row],[UID]])))</f>
        <v>0</v>
      </c>
      <c r="CZ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0" s="101" t="str">
        <f aca="false">IF(NOT(Tasks[[#This Row],[_IsLeaf]]=1),"",IF(N(Tasks[[#This Row],[Duration]])&lt;=0,Tasks[[#This Row],[_LeafLateFinish]],WORKDAY.INTL(Tasks[[#This Row],[_LeafLateFinish]],-(Tasks[[#This Row],[Duration]]-1),WorkWeek,Holidays)))</f>
        <v/>
      </c>
      <c r="DC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0" s="100" t="b">
        <f aca="false">AND(Tasks[[#This Row],[_IsLeaf]]=1,Tasks[[#This Row],[_LeafProgress]]&lt;1,N(Tasks[[#This Row],[_LeafTotalSlack]])&lt;=CriticalSlackDays)</f>
        <v>0</v>
      </c>
      <c r="DE90" s="41" t="n">
        <f aca="false">IF(AND(Tasks[[#This Row],[_IsLeaf]]=1,Tasks[[#This Row],[_ConstraintCode]]=1,Tasks[[#This Row],[Mode]]&lt;&gt;"Manual",N(Tasks[[#This Row],[Actual Start]])=0),MAX(0,N(Tasks[[#This Row],[Free Slack]])),0)</f>
        <v>0</v>
      </c>
      <c r="DF90" s="101" t="str">
        <f aca="false">IF(NOT(Tasks[[#This Row],[_IsLeaf]]=1),"",IF(Tasks[[#This Row],[_AlapShift]]=0,Tasks[[#This Row],[_LeafCalcStart]],WORKDAY.INTL(Tasks[[#This Row],[_LeafCalcStart]],Tasks[[#This Row],[_AlapShift]],WorkWeek,Holidays)))</f>
        <v/>
      </c>
      <c r="DG90" s="101" t="str">
        <f aca="false">IF(NOT(Tasks[[#This Row],[_IsLeaf]]=1),"",IF(Tasks[[#This Row],[_AlapShift]]=0,Tasks[[#This Row],[_LeafCalcFinish]],WORKDAY.INTL(Tasks[[#This Row],[_LeafCalcFinish]],Tasks[[#This Row],[_AlapShift]],WorkWeek,Holidays)))</f>
        <v/>
      </c>
      <c r="DH90" s="101" t="str">
        <f aca="false">IF(NOT(Tasks[[#This Row],[_IsLeaf]]=1),"",IF(Tasks[[#This Row],[_AlapShift]]=0,Tasks[[#This Row],[_LeafFcstStart]],WORKDAY.INTL(Tasks[[#This Row],[_LeafFcstStart]],Tasks[[#This Row],[_AlapShift]],WorkWeek,Holidays)))</f>
        <v/>
      </c>
      <c r="DI90" s="101" t="str">
        <f aca="false">IF(NOT(Tasks[[#This Row],[_IsLeaf]]=1),"",IF(Tasks[[#This Row],[_AlapShift]]=0,Tasks[[#This Row],[_LeafFcstFinish]],WORKDAY.INTL(Tasks[[#This Row],[_LeafFcstFinish]],Tasks[[#This Row],[_AlapShift]],WorkWeek,Holidays)))</f>
        <v/>
      </c>
      <c r="DJ90" s="101" t="str">
        <f aca="false">IF(Tasks[[#This Row],[Task Name]]="","",IF(Tasks[[#This Row],[_IsSummary]],MIN(INDEX(Tasks[_ShownCalcStart],Tasks[[#This Row],[_Row]]+1):INDEX(Tasks[_ShownCalcStart],Tasks[[#This Row],[_Row]]+Tasks[[#This Row],[_Descendants]])),Tasks[[#This Row],[_ShownCalcStart]]))</f>
        <v/>
      </c>
      <c r="DK90" s="101" t="str">
        <f aca="false">IF(Tasks[[#This Row],[Task Name]]="","",IF(Tasks[[#This Row],[_IsSummary]],MAX(INDEX(Tasks[_ShownCalcFinish],Tasks[[#This Row],[_Row]]+1):INDEX(Tasks[_ShownCalcFinish],Tasks[[#This Row],[_Row]]+Tasks[[#This Row],[_Descendants]])),Tasks[[#This Row],[_ShownCalcFinish]]))</f>
        <v/>
      </c>
      <c r="D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0" s="41" t="n">
        <f aca="false">IF(AND(Tasks[[#This Row],[_IsLeaf]]=1,Tasks[[#This Row],[_LeafTotalWork]]&gt;0),NETWORKDAYS.INTL(ProjectStart,Tasks[[#This Row],[_ShownFcstStart]],WorkWeek,Holidays),0)</f>
        <v>0</v>
      </c>
      <c r="DY90" s="41" t="n">
        <f aca="false">IF(AND(Tasks[[#This Row],[_IsLeaf]]=1,Tasks[[#This Row],[_LeafTotalWork]]&gt;0),MAX(Tasks[[#This Row],[_StartWorkday]],NETWORKDAYS.INTL(ProjectStart,Tasks[[#This Row],[_ShownFcstFinish]],WorkWeek,Holidays)),0)</f>
        <v>0</v>
      </c>
      <c r="DZ90" s="41" t="n">
        <f aca="false">IF(AND(Tasks[[#This Row],[_IsLeaf]]=1,Tasks[[#This Row],[_LeafTotalWork]]&gt;0),Tasks[[#This Row],[_LeafWork]]/(Tasks[[#This Row],[_FinishWorkday]]-Tasks[[#This Row],[_StartWorkday]]+1),0)</f>
        <v>0</v>
      </c>
      <c r="EA90" s="41" t="n">
        <f aca="false">Tasks[[#This Row],[_WorkPerWorkday]]*(Tasks[[#This Row],[_StartWorkday]]-1)</f>
        <v>-0</v>
      </c>
      <c r="EB90" s="41" t="n">
        <f aca="false">IF(Tasks[[#This Row],[_IsLeaf]]=1,MAX(N(Tasks[[#This Row],[Duration]]),0.1),0)</f>
        <v>0</v>
      </c>
      <c r="EC90" s="41" t="n">
        <f aca="false">Tasks[[#This Row],[_WeightDur]]*Tasks[[#This Row],[_LeafProgress]]</f>
        <v>0</v>
      </c>
      <c r="ED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0" s="41" t="str">
        <f aca="false">IF(AND(Tasks[[#This Row],[_IsLeaf]]=1,N(Tasks[[#This Row],[Duration]])=0,Tasks[[#This Row],[_LeafProgress]]&lt;1),Tasks[[#This Row],[_ShownFcstFinish]]+Tasks[[#This Row],[_Row]]/100000,"")</f>
        <v/>
      </c>
      <c r="EF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0" s="41" t="n">
        <f aca="false">IF(NOT(Tasks[[#This Row],[_IsLeaf]]=1),0,IF(Tasks[[#This Row],[Baseline Cost]]="",Tasks[[#This Row],[_LeafTotalCost]],N(Tasks[[#This Row],[Baseline Cost]])))</f>
        <v>0</v>
      </c>
      <c r="EH90" s="41" t="n">
        <f aca="false">Tasks[[#This Row],[_LeafBudget]]*Tasks[[#This Row],[_PlannedPct]]</f>
        <v>0</v>
      </c>
      <c r="EI90" s="41" t="n">
        <f aca="false">Tasks[[#This Row],[_LeafBudget]]*Tasks[[#This Row],[_LeafProgress]]</f>
        <v>0</v>
      </c>
      <c r="EJ90" s="41" t="n">
        <f aca="false">IF(NOT(Tasks[[#This Row],[_IsLeaf]]=1),0,IF(Tasks[[#This Row],[Actual Cost]]="",Tasks[[#This Row],[_LeafTotalCost]]*Tasks[[#This Row],[_LeafProgress]],N(Tasks[[#This Row],[Actual Cost]])))</f>
        <v>0</v>
      </c>
      <c r="EK90" s="41" t="str">
        <f aca="false">IF(Tasks[[#This Row],[Task Name]]="","",LEFT(Tasks[[#This Row],[WBS]],FIND(".",Tasks[[#This Row],[WBS]]&amp;".")-1))</f>
        <v/>
      </c>
      <c r="EL90" s="41" t="str">
        <f aca="false">IF(AND(Tasks[[#This Row],[Task Name]]&lt;&gt;"",Tasks[[#This Row],[_Level]]=1),Tasks[[#This Row],[_Row]],"")</f>
        <v/>
      </c>
      <c r="EM90" s="41" t="str">
        <f aca="false">IF(AND(Tasks[[#This Row],[_IsLeaf]]=1,N(Tasks[[#This Row],[Duration]])=0),Tasks[[#This Row],[Planned Finish]]+Tasks[[#This Row],[_Row]]/100000,"")</f>
        <v/>
      </c>
      <c r="EN90" s="41" t="str">
        <f aca="false">IF(AND(Tasks[[#This Row],[_IsLeaf]]=1,Tasks[[#This Row],[_LeafProgress]]&lt;1,OR(N(Tasks[[#This Row],[Finish Var]])&gt;0,Tasks[[#This Row],[Status]]="Late Start")),MAX(0,Tasks[[#This Row],[Finish Var]])+1-Tasks[[#This Row],[_Row]]/1000000,"")</f>
        <v/>
      </c>
      <c r="EO90" s="41" t="str">
        <f aca="false">IF(AND(Tasks[[#This Row],[_IsLeaf]]=1,N(Tasks[[#This Row],[Actual Start]])=0,Tasks[[#This Row],[_ShownFcstStart]]&gt;=StatusDate,Tasks[[#This Row],[_ShownFcstStart]]&lt;=LookaheadEnd),Tasks[[#This Row],[_ShownFcstStart]]+Tasks[[#This Row],[_Row]]/100000,"")</f>
        <v/>
      </c>
      <c r="EP90" s="41" t="str">
        <f aca="false">IF(AND(Tasks[[#This Row],[_IsLeaf]]=1,Tasks[[#This Row],[_LeafProgress]]&lt;1,Tasks[[#This Row],[_ShownFcstFinish]]&gt;=StatusDate,Tasks[[#This Row],[_ShownFcstFinish]]&lt;=LookaheadEnd),Tasks[[#This Row],[_ShownFcstFinish]]+Tasks[[#This Row],[_Row]]/100000,"")</f>
        <v/>
      </c>
      <c r="EQ90" s="41" t="str">
        <f aca="false">IF(Tasks[[#This Row],[_LeafCritical]],Tasks[[#This Row],[_ShownFcstStart]]+Tasks[[#This Row],[_Row]]/100000,"")</f>
        <v/>
      </c>
      <c r="ER90" s="41" t="n">
        <f aca="false">Tasks[[#This Row],[_LeafWork]]*Tasks[[#This Row],[_LeafProgress]]</f>
        <v>0</v>
      </c>
      <c r="ES90" s="101" t="str">
        <f aca="false">IF(AND(Tasks[[#This Row],[_IsLeaf]]=1,Tasks[[#This Row],[_LeafProgress]]&gt;=1),IF(N(Tasks[[#This Row],[Actual Finish]])&gt;0,Tasks[[#This Row],[Actual Finish]],Tasks[[#This Row],[_ShownFcstFinish]]),"")</f>
        <v/>
      </c>
      <c r="ET90" s="41" t="n">
        <f aca="false">IF(Tasks[[#This Row],[_IsLeaf]]=1,N(Tasks[[#This Row],[Story Points]]),0)</f>
        <v>0</v>
      </c>
      <c r="EU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29"/>
      <c r="O91" s="29"/>
      <c r="P91" s="29"/>
      <c r="Q91" s="29"/>
      <c r="R91" s="29"/>
      <c r="S91" s="29"/>
      <c r="T91" s="30"/>
      <c r="U91" s="75"/>
      <c r="V91" s="75"/>
      <c r="W91" s="25" t="str">
        <f aca="false">IF(Tasks[[#This Row],[Task Name]]="","",IF(N(Tasks[[#This Row],[Baseline Start]])&gt;0,Tasks[[#This Row],[Baseline Start]],Tasks[[#This Row],[_CalcStart]]))</f>
        <v/>
      </c>
      <c r="X91" s="25" t="str">
        <f aca="false">IF(Tasks[[#This Row],[Task Name]]="","",IF(N(Tasks[[#This Row],[Baseline Finish]])&gt;0,Tasks[[#This Row],[Baseline Finish]],Tasks[[#This Row],[_CalcFinish]]))</f>
        <v/>
      </c>
      <c r="Y91" s="75"/>
      <c r="Z91" s="75"/>
      <c r="AA91" s="25" t="str">
        <f aca="false">IF(Tasks[[#This Row],[Task Name]]="","",IF(Tasks[[#This Row],[_IsSummary]],MIN(INDEX(Tasks[_ShownFcstStart],Tasks[[#This Row],[_Row]]+1):INDEX(Tasks[_ShownFcstStart],Tasks[[#This Row],[_Row]]+Tasks[[#This Row],[_Descendants]])),Tasks[[#This Row],[_ShownFcstStart]]))</f>
        <v/>
      </c>
      <c r="AB91" s="25" t="str">
        <f aca="false">IF(Tasks[[#This Row],[Task Name]]="","",IF(Tasks[[#This Row],[_IsSummary]],MAX(INDEX(Tasks[_ShownFcstFinish],Tasks[[#This Row],[_Row]]+1):INDEX(Tasks[_ShownFcstFinish],Tasks[[#This Row],[_Row]]+Tasks[[#This Row],[_Descendants]])),Tasks[[#This Row],[_ShownFcstFinish]]))</f>
        <v/>
      </c>
      <c r="AC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1" s="25" t="str">
        <f aca="false">IF(Tasks[[#This Row],[Task Name]]="","",IF(Tasks[[#This Row],[_IsSummary]],MIN(INDEX(Tasks[_LeafLateStart],Tasks[[#This Row],[_Row]]+1):INDEX(Tasks[_LeafLateStart],Tasks[[#This Row],[_Row]]+Tasks[[#This Row],[_Descendants]])),Tasks[[#This Row],[_LeafLateStart]]))</f>
        <v/>
      </c>
      <c r="AF91" s="25" t="str">
        <f aca="false">IF(Tasks[[#This Row],[Task Name]]="","",IF(Tasks[[#This Row],[_IsSummary]],MAX(INDEX(Tasks[_LeafLateFinish],Tasks[[#This Row],[_Row]]+1):INDEX(Tasks[_LeafLateFinish],Tasks[[#This Row],[_Row]]+Tasks[[#This Row],[_Descendants]])),Tasks[[#This Row],[_LeafLateFinish]]))</f>
        <v/>
      </c>
      <c r="AG91" s="28" t="str">
        <f aca="false">IF(Tasks[[#This Row],[Task Name]]="","",IF(Tasks[[#This Row],[_IsSummary]],MIN(INDEX(Tasks[_LeafTotalSlack],Tasks[[#This Row],[_Row]]+1):INDEX(Tasks[_LeafTotalSlack],Tasks[[#This Row],[_Row]]+Tasks[[#This Row],[_Descendants]])),Tasks[[#This Row],[_LeafTotalSlack]]))</f>
        <v/>
      </c>
      <c r="AH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1" s="28" t="str">
        <f aca="false">IF(Tasks[[#This Row],[Task Name]]="","",IF(IF(Tasks[[#This Row],[_IsSummary]],COUNTIF(INDEX(Tasks[_LeafCritical],Tasks[[#This Row],[_Row]]+1):INDEX(Tasks[_LeafCritical],Tasks[[#This Row],[_Row]]+Tasks[[#This Row],[_Descendants]]),TRUE())&gt;0,Tasks[[#This Row],[_LeafCritical]]),"Yes",""))</f>
        <v/>
      </c>
      <c r="AJ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1" s="89"/>
      <c r="AM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1" s="28" t="str">
        <f aca="false">IF(Tasks[[#This Row],[Task Name]]="","",IF(Tasks[[#This Row],[Progress]]&gt;=1,"Complete",IF(OR(N(Tasks[[#This Row],[Actual Start]])&gt;0,Tasks[[#This Row],[Progress]]&gt;0),IF(Tasks[[#This Row],[Finish Var]]&gt;0,"Behind","In Progress"),IF(Tasks[[#This Row],[Planned Start]]&lt;StatusDate,"Late Start","Not Started"))))</f>
        <v/>
      </c>
      <c r="AO91" s="30"/>
      <c r="AP91" s="89"/>
      <c r="AQ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1" s="96" t="str">
        <f aca="false">IF(Tasks[[#This Row],[Task Name]]="","",IF(Tasks[[#This Row],[_IsSummary]],SUM(INDEX(Tasks[_LeafTotalWork],Tasks[[#This Row],[_Row]]+1):INDEX(Tasks[_LeafTotalWork],Tasks[[#This Row],[_Row]]+Tasks[[#This Row],[_Descendants]])),Tasks[[#This Row],[_LeafTotalWork]]))</f>
        <v/>
      </c>
      <c r="AT91" s="97" t="str">
        <f aca="false">IF(Tasks[[#This Row],[Task Name]]="","",IF(Tasks[[#This Row],[_IsSummary]],SUM(INDEX(Tasks[_LeafTotalCost],Tasks[[#This Row],[_Row]]+1):INDEX(Tasks[_LeafTotalCost],Tasks[[#This Row],[_Row]]+Tasks[[#This Row],[_Descendants]])),Tasks[[#This Row],[_LeafTotalCost]]))</f>
        <v/>
      </c>
      <c r="AU91" s="98"/>
      <c r="AV91" s="29"/>
      <c r="AW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1" s="83"/>
      <c r="AY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1" s="30"/>
      <c r="BA91" s="25" t="str">
        <f aca="false">IF(Tasks[[#This Row],[Task Name]]="","",Tasks[[#This Row],[Forecast Start]])</f>
        <v/>
      </c>
      <c r="BB91" s="25" t="str">
        <f aca="false">IF(Tasks[[#This Row],[Task Name]]="","",Tasks[[#This Row],[Forecast Finish]])</f>
        <v/>
      </c>
      <c r="BC91" s="28" t="str">
        <f aca="false">IF(Tasks[[#This Row],[Task Name]]="","",IF(Tasks[[#This Row],[_IsSummary]],NETWORKDAYS.INTL(Tasks[[#This Row],[Forecast Start]],Tasks[[#This Row],[Forecast Finish]],WorkWeek,Holidays),N(Tasks[[#This Row],[Duration]])))</f>
        <v/>
      </c>
      <c r="BD91" s="96" t="str">
        <f aca="false">IF(Tasks[[#This Row],[Task Name]]="","",Tasks[[#This Row],[Work]])</f>
        <v/>
      </c>
      <c r="BE91" s="97" t="str">
        <f aca="false">IF(Tasks[[#This Row],[Task Name]]="","",Tasks[[#This Row],[Cost]])</f>
        <v/>
      </c>
      <c r="BF91" s="75"/>
      <c r="BG91" s="75"/>
      <c r="BH91" s="29"/>
      <c r="BI91" s="99"/>
      <c r="BJ91" s="98"/>
      <c r="BK91" s="28" t="str">
        <f aca="false">IF(OR(Tasks[[#This Row],[Task Name]]="",Tasks[[#This Row],[Baseline Duration]]=""),"",Tasks[[#This Row],[BL Source Duration]]-N(Tasks[[#This Row],[Baseline Duration]]))</f>
        <v/>
      </c>
      <c r="BL91" s="96" t="str">
        <f aca="false">IF(OR(Tasks[[#This Row],[Task Name]]="",Tasks[[#This Row],[Baseline Work]]=""),"",Tasks[[#This Row],[Work]]-N(Tasks[[#This Row],[Baseline Work]]))</f>
        <v/>
      </c>
      <c r="BM91" s="97" t="str">
        <f aca="false">IF(OR(Tasks[[#This Row],[Task Name]]="",Tasks[[#This Row],[Baseline Cost]]=""),"",Tasks[[#This Row],[Cost]]-N(Tasks[[#This Row],[Baseline Cost]]))</f>
        <v/>
      </c>
      <c r="BN91" s="97" t="str">
        <f aca="false">IF(Tasks[[#This Row],[Task Name]]="","",IF(Tasks[[#This Row],[_IsSummary]],SUM(INDEX(Tasks[_LeafBudget],Tasks[[#This Row],[_Row]]+1):INDEX(Tasks[_LeafBudget],Tasks[[#This Row],[_Row]]+Tasks[[#This Row],[_Descendants]])),Tasks[[#This Row],[_LeafBudget]]))</f>
        <v/>
      </c>
      <c r="BO91" s="97" t="str">
        <f aca="false">IF(Tasks[[#This Row],[Task Name]]="","",IF(Tasks[[#This Row],[_IsSummary]],SUM(INDEX(Tasks[_LeafPV],Tasks[[#This Row],[_Row]]+1):INDEX(Tasks[_LeafPV],Tasks[[#This Row],[_Row]]+Tasks[[#This Row],[_Descendants]])),Tasks[[#This Row],[_LeafPV]]))</f>
        <v/>
      </c>
      <c r="BP91" s="97" t="str">
        <f aca="false">IF(Tasks[[#This Row],[Task Name]]="","",IF(Tasks[[#This Row],[_IsSummary]],SUM(INDEX(Tasks[_LeafEV],Tasks[[#This Row],[_Row]]+1):INDEX(Tasks[_LeafEV],Tasks[[#This Row],[_Row]]+Tasks[[#This Row],[_Descendants]])),Tasks[[#This Row],[_LeafEV]]))</f>
        <v/>
      </c>
      <c r="BQ91" s="97" t="str">
        <f aca="false">IF(Tasks[[#This Row],[Task Name]]="","",IF(Tasks[[#This Row],[_IsSummary]],SUM(INDEX(Tasks[_LeafAC],Tasks[[#This Row],[_Row]]+1):INDEX(Tasks[_LeafAC],Tasks[[#This Row],[_Row]]+Tasks[[#This Row],[_Descendants]])),Tasks[[#This Row],[_LeafAC]]))</f>
        <v/>
      </c>
      <c r="BR91" s="41" t="str">
        <f aca="false">IF(Tasks[[#This Row],[Task Name]]="","",MAX(1,N(Tasks[[#This Row],[Level]])))</f>
        <v/>
      </c>
      <c r="BS91" s="41" t="n">
        <f aca="false">ROW()-ROW(Tasks[[#Headers],[ID]])</f>
        <v>86</v>
      </c>
      <c r="BT91" s="41" t="n">
        <f aca="false">IF(OR(Tasks[[#This Row],[Task Name]]="",Tasks[[#This Row],[_Level]]&lt;=1),0,IFERROR(LOOKUP(2,1/(Tasks[[#Headers],[_Level]]:Tasks[[#This Row],[_Level]]=Tasks[[#This Row],[_Level]]-1),ROW(Tasks[[#Headers],[_Level]]:Tasks[[#This Row],[_Level]])),0))</f>
        <v>0</v>
      </c>
      <c r="BU91" s="41" t="n">
        <f aca="false">IFERROR(N(INDEX(Tasks[_Level],Tasks[[#This Row],[_Row]]+1)),0)</f>
        <v>0</v>
      </c>
      <c r="BV91" s="100" t="b">
        <f aca="false">AND(Tasks[[#This Row],[Task Name]]&lt;&gt;"",Tasks[[#This Row],[_NextLevel]]&gt;Tasks[[#This Row],[_Level]])</f>
        <v>0</v>
      </c>
      <c r="BW91" s="41" t="n">
        <f aca="false">IF(Tasks[[#This Row],[_IsSummary]],COUNTIF(Tasks[WBS],Tasks[[#This Row],[WBS]]&amp;".*"),0)</f>
        <v>0</v>
      </c>
      <c r="BX91" s="41" t="n">
        <f aca="false">IF(AND(Tasks[[#This Row],[Task Name]]&lt;&gt;"",NOT(Tasks[[#This Row],[_IsSummary]])),1,0)</f>
        <v>0</v>
      </c>
      <c r="BY91" s="41" t="n">
        <f aca="false">IF(N(Tasks[[#This Row],[Pred1 UID]])=0,0,IFERROR(MATCH(Tasks[[#This Row],[Pred1 UID]],Tasks[UID],0),-1))</f>
        <v>0</v>
      </c>
      <c r="BZ91" s="41" t="n">
        <f aca="false">IF(N(Tasks[[#This Row],[Pred2 UID]])=0,0,IFERROR(MATCH(Tasks[[#This Row],[Pred2 UID]],Tasks[UID],0),-1))</f>
        <v>0</v>
      </c>
      <c r="CA91" s="41" t="n">
        <f aca="false">IF(N(Tasks[[#This Row],[Pred3 UID]])=0,0,IFERROR(MATCH(Tasks[[#This Row],[Pred3 UID]],Tasks[UID],0),-1))</f>
        <v>0</v>
      </c>
      <c r="CB91" s="41" t="n">
        <f aca="false">IF(N(Tasks[[#This Row],[Pred4 UID]])=0,0,IFERROR(MATCH(Tasks[[#This Row],[Pred4 UID]],Tasks[UID],0),-1))</f>
        <v>0</v>
      </c>
      <c r="CC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1" s="101" t="n">
        <f aca="false">IF(OR(Tasks[[#This Row],[_ConstraintCode]]=2,Tasks[[#This Row],[_ConstraintCode]]=3,Tasks[[#This Row],[_ConstraintCode]]=4,Tasks[[#This Row],[_ConstraintCode]]=6),Tasks[[#This Row],[_ConstraintStart]],0)</f>
        <v>0</v>
      </c>
      <c r="CF91" s="101" t="n">
        <f aca="false">IF(OR(Tasks[[#This Row],[_ConstraintCode]]=2,Tasks[[#This Row],[_ConstraintCode]]=3,Tasks[[#This Row],[_ConstraintCode]]=5,Tasks[[#This Row],[_ConstraintCode]]=7),Tasks[[#This Row],[_ConstraintStart]],2958465)</f>
        <v>2958465</v>
      </c>
      <c r="CG9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1" s="101" t="str">
        <f aca="false">IF(NOT(Tasks[[#This Row],[_IsLeaf]]=1),"",IF(N(Tasks[[#This Row],[Duration]])&lt;=0,Tasks[[#This Row],[_LeafCalcStart]],WORKDAY.INTL(Tasks[[#This Row],[_LeafCalcStart]],Tasks[[#This Row],[Duration]]-1,WorkWeek,Holidays)))</f>
        <v/>
      </c>
      <c r="CI9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1" s="41" t="n">
        <f aca="false">IF(NOT(Tasks[[#This Row],[_IsLeaf]]=1),0,IF(N(Tasks[[#This Row],[Actual Finish]])&gt;0,1,MIN(1,N(Tasks[[#This Row],[% Complete]]))))</f>
        <v>0</v>
      </c>
      <c r="CL91" s="41" t="n">
        <f aca="false">IF(OR(NOT(Tasks[[#This Row],[_IsLeaf]]=1),Tasks[[#This Row],[Resource]]=""),0,N(Tasks[[#This Row],[Duration]])*HoursPerDay*IF(Tasks[[#This Row],[Units]]="",DefaultUnits,Tasks[[#This Row],[Units]]))</f>
        <v>0</v>
      </c>
      <c r="CM91" s="41" t="n">
        <f aca="false">IF(Tasks[[#This Row],[_LeafWork]]=0,0,Tasks[[#This Row],[_LeafWork]]*IFERROR(INDEX(res_Rate,MATCH(Tasks[[#This Row],[Resource]],res_Name,0)),0))</f>
        <v>0</v>
      </c>
      <c r="CN91" s="41" t="n">
        <f aca="false">Tasks[[#This Row],[_LeafWork]]+IF(Tasks[[#This Row],[_IsLeaf]]=1,SUMIFS(asg_Work,asg_TaskUID,Tasks[[#This Row],[UID]],asg_Valid,1),0)</f>
        <v>0</v>
      </c>
      <c r="CO91" s="41" t="n">
        <f aca="false">Tasks[[#This Row],[_LeafCost]]+IF(Tasks[[#This Row],[_IsLeaf]]=1,SUMIFS(asg_Cost,asg_TaskUID,Tasks[[#This Row],[UID]],asg_Valid,1),0)</f>
        <v>0</v>
      </c>
      <c r="CP91" s="41" t="n">
        <f aca="false">IF(Tasks[[#This Row],[_LeafTotalCost]]=0,Tasks[[#This Row],[_LeafAC]],Tasks[[#This Row],[_LeafAC]]*Tasks[[#This Row],[_LeafCost]]/Tasks[[#This Row],[_LeafTotalCost]])</f>
        <v>0</v>
      </c>
      <c r="CQ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1" s="41" t="n">
        <f aca="false">IF(NOT(Tasks[[#This Row],[_IsLeaf]]=1),0,MAX(_xlfn.MAXIFS(Tasks[_Row],Tasks[Pred1 UID],Tasks[[#This Row],[UID]]),_xlfn.MAXIFS(Tasks[_Row],Tasks[Pred2 UID],Tasks[[#This Row],[UID]]),_xlfn.MAXIFS(Tasks[_Row],Tasks[Pred3 UID],Tasks[[#This Row],[UID]]),_xlfn.MAXIFS(Tasks[_Row],Tasks[Pred4 UID],Tasks[[#This Row],[UID]])))</f>
        <v>0</v>
      </c>
      <c r="CZ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1" s="101" t="str">
        <f aca="false">IF(NOT(Tasks[[#This Row],[_IsLeaf]]=1),"",IF(N(Tasks[[#This Row],[Duration]])&lt;=0,Tasks[[#This Row],[_LeafLateFinish]],WORKDAY.INTL(Tasks[[#This Row],[_LeafLateFinish]],-(Tasks[[#This Row],[Duration]]-1),WorkWeek,Holidays)))</f>
        <v/>
      </c>
      <c r="DC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1" s="100" t="b">
        <f aca="false">AND(Tasks[[#This Row],[_IsLeaf]]=1,Tasks[[#This Row],[_LeafProgress]]&lt;1,N(Tasks[[#This Row],[_LeafTotalSlack]])&lt;=CriticalSlackDays)</f>
        <v>0</v>
      </c>
      <c r="DE91" s="41" t="n">
        <f aca="false">IF(AND(Tasks[[#This Row],[_IsLeaf]]=1,Tasks[[#This Row],[_ConstraintCode]]=1,Tasks[[#This Row],[Mode]]&lt;&gt;"Manual",N(Tasks[[#This Row],[Actual Start]])=0),MAX(0,N(Tasks[[#This Row],[Free Slack]])),0)</f>
        <v>0</v>
      </c>
      <c r="DF91" s="101" t="str">
        <f aca="false">IF(NOT(Tasks[[#This Row],[_IsLeaf]]=1),"",IF(Tasks[[#This Row],[_AlapShift]]=0,Tasks[[#This Row],[_LeafCalcStart]],WORKDAY.INTL(Tasks[[#This Row],[_LeafCalcStart]],Tasks[[#This Row],[_AlapShift]],WorkWeek,Holidays)))</f>
        <v/>
      </c>
      <c r="DG91" s="101" t="str">
        <f aca="false">IF(NOT(Tasks[[#This Row],[_IsLeaf]]=1),"",IF(Tasks[[#This Row],[_AlapShift]]=0,Tasks[[#This Row],[_LeafCalcFinish]],WORKDAY.INTL(Tasks[[#This Row],[_LeafCalcFinish]],Tasks[[#This Row],[_AlapShift]],WorkWeek,Holidays)))</f>
        <v/>
      </c>
      <c r="DH91" s="101" t="str">
        <f aca="false">IF(NOT(Tasks[[#This Row],[_IsLeaf]]=1),"",IF(Tasks[[#This Row],[_AlapShift]]=0,Tasks[[#This Row],[_LeafFcstStart]],WORKDAY.INTL(Tasks[[#This Row],[_LeafFcstStart]],Tasks[[#This Row],[_AlapShift]],WorkWeek,Holidays)))</f>
        <v/>
      </c>
      <c r="DI91" s="101" t="str">
        <f aca="false">IF(NOT(Tasks[[#This Row],[_IsLeaf]]=1),"",IF(Tasks[[#This Row],[_AlapShift]]=0,Tasks[[#This Row],[_LeafFcstFinish]],WORKDAY.INTL(Tasks[[#This Row],[_LeafFcstFinish]],Tasks[[#This Row],[_AlapShift]],WorkWeek,Holidays)))</f>
        <v/>
      </c>
      <c r="DJ91" s="101" t="str">
        <f aca="false">IF(Tasks[[#This Row],[Task Name]]="","",IF(Tasks[[#This Row],[_IsSummary]],MIN(INDEX(Tasks[_ShownCalcStart],Tasks[[#This Row],[_Row]]+1):INDEX(Tasks[_ShownCalcStart],Tasks[[#This Row],[_Row]]+Tasks[[#This Row],[_Descendants]])),Tasks[[#This Row],[_ShownCalcStart]]))</f>
        <v/>
      </c>
      <c r="DK91" s="101" t="str">
        <f aca="false">IF(Tasks[[#This Row],[Task Name]]="","",IF(Tasks[[#This Row],[_IsSummary]],MAX(INDEX(Tasks[_ShownCalcFinish],Tasks[[#This Row],[_Row]]+1):INDEX(Tasks[_ShownCalcFinish],Tasks[[#This Row],[_Row]]+Tasks[[#This Row],[_Descendants]])),Tasks[[#This Row],[_ShownCalcFinish]]))</f>
        <v/>
      </c>
      <c r="D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1" s="41" t="n">
        <f aca="false">IF(AND(Tasks[[#This Row],[_IsLeaf]]=1,Tasks[[#This Row],[_LeafTotalWork]]&gt;0),NETWORKDAYS.INTL(ProjectStart,Tasks[[#This Row],[_ShownFcstStart]],WorkWeek,Holidays),0)</f>
        <v>0</v>
      </c>
      <c r="DY91" s="41" t="n">
        <f aca="false">IF(AND(Tasks[[#This Row],[_IsLeaf]]=1,Tasks[[#This Row],[_LeafTotalWork]]&gt;0),MAX(Tasks[[#This Row],[_StartWorkday]],NETWORKDAYS.INTL(ProjectStart,Tasks[[#This Row],[_ShownFcstFinish]],WorkWeek,Holidays)),0)</f>
        <v>0</v>
      </c>
      <c r="DZ91" s="41" t="n">
        <f aca="false">IF(AND(Tasks[[#This Row],[_IsLeaf]]=1,Tasks[[#This Row],[_LeafTotalWork]]&gt;0),Tasks[[#This Row],[_LeafWork]]/(Tasks[[#This Row],[_FinishWorkday]]-Tasks[[#This Row],[_StartWorkday]]+1),0)</f>
        <v>0</v>
      </c>
      <c r="EA91" s="41" t="n">
        <f aca="false">Tasks[[#This Row],[_WorkPerWorkday]]*(Tasks[[#This Row],[_StartWorkday]]-1)</f>
        <v>-0</v>
      </c>
      <c r="EB91" s="41" t="n">
        <f aca="false">IF(Tasks[[#This Row],[_IsLeaf]]=1,MAX(N(Tasks[[#This Row],[Duration]]),0.1),0)</f>
        <v>0</v>
      </c>
      <c r="EC91" s="41" t="n">
        <f aca="false">Tasks[[#This Row],[_WeightDur]]*Tasks[[#This Row],[_LeafProgress]]</f>
        <v>0</v>
      </c>
      <c r="ED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1" s="41" t="str">
        <f aca="false">IF(AND(Tasks[[#This Row],[_IsLeaf]]=1,N(Tasks[[#This Row],[Duration]])=0,Tasks[[#This Row],[_LeafProgress]]&lt;1),Tasks[[#This Row],[_ShownFcstFinish]]+Tasks[[#This Row],[_Row]]/100000,"")</f>
        <v/>
      </c>
      <c r="EF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1" s="41" t="n">
        <f aca="false">IF(NOT(Tasks[[#This Row],[_IsLeaf]]=1),0,IF(Tasks[[#This Row],[Baseline Cost]]="",Tasks[[#This Row],[_LeafTotalCost]],N(Tasks[[#This Row],[Baseline Cost]])))</f>
        <v>0</v>
      </c>
      <c r="EH91" s="41" t="n">
        <f aca="false">Tasks[[#This Row],[_LeafBudget]]*Tasks[[#This Row],[_PlannedPct]]</f>
        <v>0</v>
      </c>
      <c r="EI91" s="41" t="n">
        <f aca="false">Tasks[[#This Row],[_LeafBudget]]*Tasks[[#This Row],[_LeafProgress]]</f>
        <v>0</v>
      </c>
      <c r="EJ91" s="41" t="n">
        <f aca="false">IF(NOT(Tasks[[#This Row],[_IsLeaf]]=1),0,IF(Tasks[[#This Row],[Actual Cost]]="",Tasks[[#This Row],[_LeafTotalCost]]*Tasks[[#This Row],[_LeafProgress]],N(Tasks[[#This Row],[Actual Cost]])))</f>
        <v>0</v>
      </c>
      <c r="EK91" s="41" t="str">
        <f aca="false">IF(Tasks[[#This Row],[Task Name]]="","",LEFT(Tasks[[#This Row],[WBS]],FIND(".",Tasks[[#This Row],[WBS]]&amp;".")-1))</f>
        <v/>
      </c>
      <c r="EL91" s="41" t="str">
        <f aca="false">IF(AND(Tasks[[#This Row],[Task Name]]&lt;&gt;"",Tasks[[#This Row],[_Level]]=1),Tasks[[#This Row],[_Row]],"")</f>
        <v/>
      </c>
      <c r="EM91" s="41" t="str">
        <f aca="false">IF(AND(Tasks[[#This Row],[_IsLeaf]]=1,N(Tasks[[#This Row],[Duration]])=0),Tasks[[#This Row],[Planned Finish]]+Tasks[[#This Row],[_Row]]/100000,"")</f>
        <v/>
      </c>
      <c r="EN91" s="41" t="str">
        <f aca="false">IF(AND(Tasks[[#This Row],[_IsLeaf]]=1,Tasks[[#This Row],[_LeafProgress]]&lt;1,OR(N(Tasks[[#This Row],[Finish Var]])&gt;0,Tasks[[#This Row],[Status]]="Late Start")),MAX(0,Tasks[[#This Row],[Finish Var]])+1-Tasks[[#This Row],[_Row]]/1000000,"")</f>
        <v/>
      </c>
      <c r="EO91" s="41" t="str">
        <f aca="false">IF(AND(Tasks[[#This Row],[_IsLeaf]]=1,N(Tasks[[#This Row],[Actual Start]])=0,Tasks[[#This Row],[_ShownFcstStart]]&gt;=StatusDate,Tasks[[#This Row],[_ShownFcstStart]]&lt;=LookaheadEnd),Tasks[[#This Row],[_ShownFcstStart]]+Tasks[[#This Row],[_Row]]/100000,"")</f>
        <v/>
      </c>
      <c r="EP91" s="41" t="str">
        <f aca="false">IF(AND(Tasks[[#This Row],[_IsLeaf]]=1,Tasks[[#This Row],[_LeafProgress]]&lt;1,Tasks[[#This Row],[_ShownFcstFinish]]&gt;=StatusDate,Tasks[[#This Row],[_ShownFcstFinish]]&lt;=LookaheadEnd),Tasks[[#This Row],[_ShownFcstFinish]]+Tasks[[#This Row],[_Row]]/100000,"")</f>
        <v/>
      </c>
      <c r="EQ91" s="41" t="str">
        <f aca="false">IF(Tasks[[#This Row],[_LeafCritical]],Tasks[[#This Row],[_ShownFcstStart]]+Tasks[[#This Row],[_Row]]/100000,"")</f>
        <v/>
      </c>
      <c r="ER91" s="41" t="n">
        <f aca="false">Tasks[[#This Row],[_LeafWork]]*Tasks[[#This Row],[_LeafProgress]]</f>
        <v>0</v>
      </c>
      <c r="ES91" s="101" t="str">
        <f aca="false">IF(AND(Tasks[[#This Row],[_IsLeaf]]=1,Tasks[[#This Row],[_LeafProgress]]&gt;=1),IF(N(Tasks[[#This Row],[Actual Finish]])&gt;0,Tasks[[#This Row],[Actual Finish]],Tasks[[#This Row],[_ShownFcstFinish]]),"")</f>
        <v/>
      </c>
      <c r="ET91" s="41" t="n">
        <f aca="false">IF(Tasks[[#This Row],[_IsLeaf]]=1,N(Tasks[[#This Row],[Story Points]]),0)</f>
        <v>0</v>
      </c>
      <c r="EU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29"/>
      <c r="O92" s="29"/>
      <c r="P92" s="29"/>
      <c r="Q92" s="29"/>
      <c r="R92" s="29"/>
      <c r="S92" s="29"/>
      <c r="T92" s="30"/>
      <c r="U92" s="75"/>
      <c r="V92" s="75"/>
      <c r="W92" s="25" t="str">
        <f aca="false">IF(Tasks[[#This Row],[Task Name]]="","",IF(N(Tasks[[#This Row],[Baseline Start]])&gt;0,Tasks[[#This Row],[Baseline Start]],Tasks[[#This Row],[_CalcStart]]))</f>
        <v/>
      </c>
      <c r="X92" s="25" t="str">
        <f aca="false">IF(Tasks[[#This Row],[Task Name]]="","",IF(N(Tasks[[#This Row],[Baseline Finish]])&gt;0,Tasks[[#This Row],[Baseline Finish]],Tasks[[#This Row],[_CalcFinish]]))</f>
        <v/>
      </c>
      <c r="Y92" s="75"/>
      <c r="Z92" s="75"/>
      <c r="AA92" s="25" t="str">
        <f aca="false">IF(Tasks[[#This Row],[Task Name]]="","",IF(Tasks[[#This Row],[_IsSummary]],MIN(INDEX(Tasks[_ShownFcstStart],Tasks[[#This Row],[_Row]]+1):INDEX(Tasks[_ShownFcstStart],Tasks[[#This Row],[_Row]]+Tasks[[#This Row],[_Descendants]])),Tasks[[#This Row],[_ShownFcstStart]]))</f>
        <v/>
      </c>
      <c r="AB92" s="25" t="str">
        <f aca="false">IF(Tasks[[#This Row],[Task Name]]="","",IF(Tasks[[#This Row],[_IsSummary]],MAX(INDEX(Tasks[_ShownFcstFinish],Tasks[[#This Row],[_Row]]+1):INDEX(Tasks[_ShownFcstFinish],Tasks[[#This Row],[_Row]]+Tasks[[#This Row],[_Descendants]])),Tasks[[#This Row],[_ShownFcstFinish]]))</f>
        <v/>
      </c>
      <c r="AC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2" s="25" t="str">
        <f aca="false">IF(Tasks[[#This Row],[Task Name]]="","",IF(Tasks[[#This Row],[_IsSummary]],MIN(INDEX(Tasks[_LeafLateStart],Tasks[[#This Row],[_Row]]+1):INDEX(Tasks[_LeafLateStart],Tasks[[#This Row],[_Row]]+Tasks[[#This Row],[_Descendants]])),Tasks[[#This Row],[_LeafLateStart]]))</f>
        <v/>
      </c>
      <c r="AF92" s="25" t="str">
        <f aca="false">IF(Tasks[[#This Row],[Task Name]]="","",IF(Tasks[[#This Row],[_IsSummary]],MAX(INDEX(Tasks[_LeafLateFinish],Tasks[[#This Row],[_Row]]+1):INDEX(Tasks[_LeafLateFinish],Tasks[[#This Row],[_Row]]+Tasks[[#This Row],[_Descendants]])),Tasks[[#This Row],[_LeafLateFinish]]))</f>
        <v/>
      </c>
      <c r="AG92" s="28" t="str">
        <f aca="false">IF(Tasks[[#This Row],[Task Name]]="","",IF(Tasks[[#This Row],[_IsSummary]],MIN(INDEX(Tasks[_LeafTotalSlack],Tasks[[#This Row],[_Row]]+1):INDEX(Tasks[_LeafTotalSlack],Tasks[[#This Row],[_Row]]+Tasks[[#This Row],[_Descendants]])),Tasks[[#This Row],[_LeafTotalSlack]]))</f>
        <v/>
      </c>
      <c r="AH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2" s="28" t="str">
        <f aca="false">IF(Tasks[[#This Row],[Task Name]]="","",IF(IF(Tasks[[#This Row],[_IsSummary]],COUNTIF(INDEX(Tasks[_LeafCritical],Tasks[[#This Row],[_Row]]+1):INDEX(Tasks[_LeafCritical],Tasks[[#This Row],[_Row]]+Tasks[[#This Row],[_Descendants]]),TRUE())&gt;0,Tasks[[#This Row],[_LeafCritical]]),"Yes",""))</f>
        <v/>
      </c>
      <c r="AJ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2" s="89"/>
      <c r="AM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2" s="28" t="str">
        <f aca="false">IF(Tasks[[#This Row],[Task Name]]="","",IF(Tasks[[#This Row],[Progress]]&gt;=1,"Complete",IF(OR(N(Tasks[[#This Row],[Actual Start]])&gt;0,Tasks[[#This Row],[Progress]]&gt;0),IF(Tasks[[#This Row],[Finish Var]]&gt;0,"Behind","In Progress"),IF(Tasks[[#This Row],[Planned Start]]&lt;StatusDate,"Late Start","Not Started"))))</f>
        <v/>
      </c>
      <c r="AO92" s="30"/>
      <c r="AP92" s="89"/>
      <c r="AQ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2" s="96" t="str">
        <f aca="false">IF(Tasks[[#This Row],[Task Name]]="","",IF(Tasks[[#This Row],[_IsSummary]],SUM(INDEX(Tasks[_LeafTotalWork],Tasks[[#This Row],[_Row]]+1):INDEX(Tasks[_LeafTotalWork],Tasks[[#This Row],[_Row]]+Tasks[[#This Row],[_Descendants]])),Tasks[[#This Row],[_LeafTotalWork]]))</f>
        <v/>
      </c>
      <c r="AT92" s="97" t="str">
        <f aca="false">IF(Tasks[[#This Row],[Task Name]]="","",IF(Tasks[[#This Row],[_IsSummary]],SUM(INDEX(Tasks[_LeafTotalCost],Tasks[[#This Row],[_Row]]+1):INDEX(Tasks[_LeafTotalCost],Tasks[[#This Row],[_Row]]+Tasks[[#This Row],[_Descendants]])),Tasks[[#This Row],[_LeafTotalCost]]))</f>
        <v/>
      </c>
      <c r="AU92" s="98"/>
      <c r="AV92" s="29"/>
      <c r="AW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2" s="83"/>
      <c r="AY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2" s="30"/>
      <c r="BA92" s="25" t="str">
        <f aca="false">IF(Tasks[[#This Row],[Task Name]]="","",Tasks[[#This Row],[Forecast Start]])</f>
        <v/>
      </c>
      <c r="BB92" s="25" t="str">
        <f aca="false">IF(Tasks[[#This Row],[Task Name]]="","",Tasks[[#This Row],[Forecast Finish]])</f>
        <v/>
      </c>
      <c r="BC92" s="28" t="str">
        <f aca="false">IF(Tasks[[#This Row],[Task Name]]="","",IF(Tasks[[#This Row],[_IsSummary]],NETWORKDAYS.INTL(Tasks[[#This Row],[Forecast Start]],Tasks[[#This Row],[Forecast Finish]],WorkWeek,Holidays),N(Tasks[[#This Row],[Duration]])))</f>
        <v/>
      </c>
      <c r="BD92" s="96" t="str">
        <f aca="false">IF(Tasks[[#This Row],[Task Name]]="","",Tasks[[#This Row],[Work]])</f>
        <v/>
      </c>
      <c r="BE92" s="97" t="str">
        <f aca="false">IF(Tasks[[#This Row],[Task Name]]="","",Tasks[[#This Row],[Cost]])</f>
        <v/>
      </c>
      <c r="BF92" s="75"/>
      <c r="BG92" s="75"/>
      <c r="BH92" s="29"/>
      <c r="BI92" s="99"/>
      <c r="BJ92" s="98"/>
      <c r="BK92" s="28" t="str">
        <f aca="false">IF(OR(Tasks[[#This Row],[Task Name]]="",Tasks[[#This Row],[Baseline Duration]]=""),"",Tasks[[#This Row],[BL Source Duration]]-N(Tasks[[#This Row],[Baseline Duration]]))</f>
        <v/>
      </c>
      <c r="BL92" s="96" t="str">
        <f aca="false">IF(OR(Tasks[[#This Row],[Task Name]]="",Tasks[[#This Row],[Baseline Work]]=""),"",Tasks[[#This Row],[Work]]-N(Tasks[[#This Row],[Baseline Work]]))</f>
        <v/>
      </c>
      <c r="BM92" s="97" t="str">
        <f aca="false">IF(OR(Tasks[[#This Row],[Task Name]]="",Tasks[[#This Row],[Baseline Cost]]=""),"",Tasks[[#This Row],[Cost]]-N(Tasks[[#This Row],[Baseline Cost]]))</f>
        <v/>
      </c>
      <c r="BN92" s="97" t="str">
        <f aca="false">IF(Tasks[[#This Row],[Task Name]]="","",IF(Tasks[[#This Row],[_IsSummary]],SUM(INDEX(Tasks[_LeafBudget],Tasks[[#This Row],[_Row]]+1):INDEX(Tasks[_LeafBudget],Tasks[[#This Row],[_Row]]+Tasks[[#This Row],[_Descendants]])),Tasks[[#This Row],[_LeafBudget]]))</f>
        <v/>
      </c>
      <c r="BO92" s="97" t="str">
        <f aca="false">IF(Tasks[[#This Row],[Task Name]]="","",IF(Tasks[[#This Row],[_IsSummary]],SUM(INDEX(Tasks[_LeafPV],Tasks[[#This Row],[_Row]]+1):INDEX(Tasks[_LeafPV],Tasks[[#This Row],[_Row]]+Tasks[[#This Row],[_Descendants]])),Tasks[[#This Row],[_LeafPV]]))</f>
        <v/>
      </c>
      <c r="BP92" s="97" t="str">
        <f aca="false">IF(Tasks[[#This Row],[Task Name]]="","",IF(Tasks[[#This Row],[_IsSummary]],SUM(INDEX(Tasks[_LeafEV],Tasks[[#This Row],[_Row]]+1):INDEX(Tasks[_LeafEV],Tasks[[#This Row],[_Row]]+Tasks[[#This Row],[_Descendants]])),Tasks[[#This Row],[_LeafEV]]))</f>
        <v/>
      </c>
      <c r="BQ92" s="97" t="str">
        <f aca="false">IF(Tasks[[#This Row],[Task Name]]="","",IF(Tasks[[#This Row],[_IsSummary]],SUM(INDEX(Tasks[_LeafAC],Tasks[[#This Row],[_Row]]+1):INDEX(Tasks[_LeafAC],Tasks[[#This Row],[_Row]]+Tasks[[#This Row],[_Descendants]])),Tasks[[#This Row],[_LeafAC]]))</f>
        <v/>
      </c>
      <c r="BR92" s="41" t="str">
        <f aca="false">IF(Tasks[[#This Row],[Task Name]]="","",MAX(1,N(Tasks[[#This Row],[Level]])))</f>
        <v/>
      </c>
      <c r="BS92" s="41" t="n">
        <f aca="false">ROW()-ROW(Tasks[[#Headers],[ID]])</f>
        <v>87</v>
      </c>
      <c r="BT92" s="41" t="n">
        <f aca="false">IF(OR(Tasks[[#This Row],[Task Name]]="",Tasks[[#This Row],[_Level]]&lt;=1),0,IFERROR(LOOKUP(2,1/(Tasks[[#Headers],[_Level]]:Tasks[[#This Row],[_Level]]=Tasks[[#This Row],[_Level]]-1),ROW(Tasks[[#Headers],[_Level]]:Tasks[[#This Row],[_Level]])),0))</f>
        <v>0</v>
      </c>
      <c r="BU92" s="41" t="n">
        <f aca="false">IFERROR(N(INDEX(Tasks[_Level],Tasks[[#This Row],[_Row]]+1)),0)</f>
        <v>0</v>
      </c>
      <c r="BV92" s="100" t="b">
        <f aca="false">AND(Tasks[[#This Row],[Task Name]]&lt;&gt;"",Tasks[[#This Row],[_NextLevel]]&gt;Tasks[[#This Row],[_Level]])</f>
        <v>0</v>
      </c>
      <c r="BW92" s="41" t="n">
        <f aca="false">IF(Tasks[[#This Row],[_IsSummary]],COUNTIF(Tasks[WBS],Tasks[[#This Row],[WBS]]&amp;".*"),0)</f>
        <v>0</v>
      </c>
      <c r="BX92" s="41" t="n">
        <f aca="false">IF(AND(Tasks[[#This Row],[Task Name]]&lt;&gt;"",NOT(Tasks[[#This Row],[_IsSummary]])),1,0)</f>
        <v>0</v>
      </c>
      <c r="BY92" s="41" t="n">
        <f aca="false">IF(N(Tasks[[#This Row],[Pred1 UID]])=0,0,IFERROR(MATCH(Tasks[[#This Row],[Pred1 UID]],Tasks[UID],0),-1))</f>
        <v>0</v>
      </c>
      <c r="BZ92" s="41" t="n">
        <f aca="false">IF(N(Tasks[[#This Row],[Pred2 UID]])=0,0,IFERROR(MATCH(Tasks[[#This Row],[Pred2 UID]],Tasks[UID],0),-1))</f>
        <v>0</v>
      </c>
      <c r="CA92" s="41" t="n">
        <f aca="false">IF(N(Tasks[[#This Row],[Pred3 UID]])=0,0,IFERROR(MATCH(Tasks[[#This Row],[Pred3 UID]],Tasks[UID],0),-1))</f>
        <v>0</v>
      </c>
      <c r="CB92" s="41" t="n">
        <f aca="false">IF(N(Tasks[[#This Row],[Pred4 UID]])=0,0,IFERROR(MATCH(Tasks[[#This Row],[Pred4 UID]],Tasks[UID],0),-1))</f>
        <v>0</v>
      </c>
      <c r="CC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2" s="101" t="n">
        <f aca="false">IF(OR(Tasks[[#This Row],[_ConstraintCode]]=2,Tasks[[#This Row],[_ConstraintCode]]=3,Tasks[[#This Row],[_ConstraintCode]]=4,Tasks[[#This Row],[_ConstraintCode]]=6),Tasks[[#This Row],[_ConstraintStart]],0)</f>
        <v>0</v>
      </c>
      <c r="CF92" s="101" t="n">
        <f aca="false">IF(OR(Tasks[[#This Row],[_ConstraintCode]]=2,Tasks[[#This Row],[_ConstraintCode]]=3,Tasks[[#This Row],[_ConstraintCode]]=5,Tasks[[#This Row],[_ConstraintCode]]=7),Tasks[[#This Row],[_ConstraintStart]],2958465)</f>
        <v>2958465</v>
      </c>
      <c r="CG9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2" s="101" t="str">
        <f aca="false">IF(NOT(Tasks[[#This Row],[_IsLeaf]]=1),"",IF(N(Tasks[[#This Row],[Duration]])&lt;=0,Tasks[[#This Row],[_LeafCalcStart]],WORKDAY.INTL(Tasks[[#This Row],[_LeafCalcStart]],Tasks[[#This Row],[Duration]]-1,WorkWeek,Holidays)))</f>
        <v/>
      </c>
      <c r="CI9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2" s="41" t="n">
        <f aca="false">IF(NOT(Tasks[[#This Row],[_IsLeaf]]=1),0,IF(N(Tasks[[#This Row],[Actual Finish]])&gt;0,1,MIN(1,N(Tasks[[#This Row],[% Complete]]))))</f>
        <v>0</v>
      </c>
      <c r="CL92" s="41" t="n">
        <f aca="false">IF(OR(NOT(Tasks[[#This Row],[_IsLeaf]]=1),Tasks[[#This Row],[Resource]]=""),0,N(Tasks[[#This Row],[Duration]])*HoursPerDay*IF(Tasks[[#This Row],[Units]]="",DefaultUnits,Tasks[[#This Row],[Units]]))</f>
        <v>0</v>
      </c>
      <c r="CM92" s="41" t="n">
        <f aca="false">IF(Tasks[[#This Row],[_LeafWork]]=0,0,Tasks[[#This Row],[_LeafWork]]*IFERROR(INDEX(res_Rate,MATCH(Tasks[[#This Row],[Resource]],res_Name,0)),0))</f>
        <v>0</v>
      </c>
      <c r="CN92" s="41" t="n">
        <f aca="false">Tasks[[#This Row],[_LeafWork]]+IF(Tasks[[#This Row],[_IsLeaf]]=1,SUMIFS(asg_Work,asg_TaskUID,Tasks[[#This Row],[UID]],asg_Valid,1),0)</f>
        <v>0</v>
      </c>
      <c r="CO92" s="41" t="n">
        <f aca="false">Tasks[[#This Row],[_LeafCost]]+IF(Tasks[[#This Row],[_IsLeaf]]=1,SUMIFS(asg_Cost,asg_TaskUID,Tasks[[#This Row],[UID]],asg_Valid,1),0)</f>
        <v>0</v>
      </c>
      <c r="CP92" s="41" t="n">
        <f aca="false">IF(Tasks[[#This Row],[_LeafTotalCost]]=0,Tasks[[#This Row],[_LeafAC]],Tasks[[#This Row],[_LeafAC]]*Tasks[[#This Row],[_LeafCost]]/Tasks[[#This Row],[_LeafTotalCost]])</f>
        <v>0</v>
      </c>
      <c r="CQ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2" s="41" t="n">
        <f aca="false">IF(NOT(Tasks[[#This Row],[_IsLeaf]]=1),0,MAX(_xlfn.MAXIFS(Tasks[_Row],Tasks[Pred1 UID],Tasks[[#This Row],[UID]]),_xlfn.MAXIFS(Tasks[_Row],Tasks[Pred2 UID],Tasks[[#This Row],[UID]]),_xlfn.MAXIFS(Tasks[_Row],Tasks[Pred3 UID],Tasks[[#This Row],[UID]]),_xlfn.MAXIFS(Tasks[_Row],Tasks[Pred4 UID],Tasks[[#This Row],[UID]])))</f>
        <v>0</v>
      </c>
      <c r="CZ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2" s="101" t="str">
        <f aca="false">IF(NOT(Tasks[[#This Row],[_IsLeaf]]=1),"",IF(N(Tasks[[#This Row],[Duration]])&lt;=0,Tasks[[#This Row],[_LeafLateFinish]],WORKDAY.INTL(Tasks[[#This Row],[_LeafLateFinish]],-(Tasks[[#This Row],[Duration]]-1),WorkWeek,Holidays)))</f>
        <v/>
      </c>
      <c r="DC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2" s="100" t="b">
        <f aca="false">AND(Tasks[[#This Row],[_IsLeaf]]=1,Tasks[[#This Row],[_LeafProgress]]&lt;1,N(Tasks[[#This Row],[_LeafTotalSlack]])&lt;=CriticalSlackDays)</f>
        <v>0</v>
      </c>
      <c r="DE92" s="41" t="n">
        <f aca="false">IF(AND(Tasks[[#This Row],[_IsLeaf]]=1,Tasks[[#This Row],[_ConstraintCode]]=1,Tasks[[#This Row],[Mode]]&lt;&gt;"Manual",N(Tasks[[#This Row],[Actual Start]])=0),MAX(0,N(Tasks[[#This Row],[Free Slack]])),0)</f>
        <v>0</v>
      </c>
      <c r="DF92" s="101" t="str">
        <f aca="false">IF(NOT(Tasks[[#This Row],[_IsLeaf]]=1),"",IF(Tasks[[#This Row],[_AlapShift]]=0,Tasks[[#This Row],[_LeafCalcStart]],WORKDAY.INTL(Tasks[[#This Row],[_LeafCalcStart]],Tasks[[#This Row],[_AlapShift]],WorkWeek,Holidays)))</f>
        <v/>
      </c>
      <c r="DG92" s="101" t="str">
        <f aca="false">IF(NOT(Tasks[[#This Row],[_IsLeaf]]=1),"",IF(Tasks[[#This Row],[_AlapShift]]=0,Tasks[[#This Row],[_LeafCalcFinish]],WORKDAY.INTL(Tasks[[#This Row],[_LeafCalcFinish]],Tasks[[#This Row],[_AlapShift]],WorkWeek,Holidays)))</f>
        <v/>
      </c>
      <c r="DH92" s="101" t="str">
        <f aca="false">IF(NOT(Tasks[[#This Row],[_IsLeaf]]=1),"",IF(Tasks[[#This Row],[_AlapShift]]=0,Tasks[[#This Row],[_LeafFcstStart]],WORKDAY.INTL(Tasks[[#This Row],[_LeafFcstStart]],Tasks[[#This Row],[_AlapShift]],WorkWeek,Holidays)))</f>
        <v/>
      </c>
      <c r="DI92" s="101" t="str">
        <f aca="false">IF(NOT(Tasks[[#This Row],[_IsLeaf]]=1),"",IF(Tasks[[#This Row],[_AlapShift]]=0,Tasks[[#This Row],[_LeafFcstFinish]],WORKDAY.INTL(Tasks[[#This Row],[_LeafFcstFinish]],Tasks[[#This Row],[_AlapShift]],WorkWeek,Holidays)))</f>
        <v/>
      </c>
      <c r="DJ92" s="101" t="str">
        <f aca="false">IF(Tasks[[#This Row],[Task Name]]="","",IF(Tasks[[#This Row],[_IsSummary]],MIN(INDEX(Tasks[_ShownCalcStart],Tasks[[#This Row],[_Row]]+1):INDEX(Tasks[_ShownCalcStart],Tasks[[#This Row],[_Row]]+Tasks[[#This Row],[_Descendants]])),Tasks[[#This Row],[_ShownCalcStart]]))</f>
        <v/>
      </c>
      <c r="DK92" s="101" t="str">
        <f aca="false">IF(Tasks[[#This Row],[Task Name]]="","",IF(Tasks[[#This Row],[_IsSummary]],MAX(INDEX(Tasks[_ShownCalcFinish],Tasks[[#This Row],[_Row]]+1):INDEX(Tasks[_ShownCalcFinish],Tasks[[#This Row],[_Row]]+Tasks[[#This Row],[_Descendants]])),Tasks[[#This Row],[_ShownCalcFinish]]))</f>
        <v/>
      </c>
      <c r="D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2" s="41" t="n">
        <f aca="false">IF(AND(Tasks[[#This Row],[_IsLeaf]]=1,Tasks[[#This Row],[_LeafTotalWork]]&gt;0),NETWORKDAYS.INTL(ProjectStart,Tasks[[#This Row],[_ShownFcstStart]],WorkWeek,Holidays),0)</f>
        <v>0</v>
      </c>
      <c r="DY92" s="41" t="n">
        <f aca="false">IF(AND(Tasks[[#This Row],[_IsLeaf]]=1,Tasks[[#This Row],[_LeafTotalWork]]&gt;0),MAX(Tasks[[#This Row],[_StartWorkday]],NETWORKDAYS.INTL(ProjectStart,Tasks[[#This Row],[_ShownFcstFinish]],WorkWeek,Holidays)),0)</f>
        <v>0</v>
      </c>
      <c r="DZ92" s="41" t="n">
        <f aca="false">IF(AND(Tasks[[#This Row],[_IsLeaf]]=1,Tasks[[#This Row],[_LeafTotalWork]]&gt;0),Tasks[[#This Row],[_LeafWork]]/(Tasks[[#This Row],[_FinishWorkday]]-Tasks[[#This Row],[_StartWorkday]]+1),0)</f>
        <v>0</v>
      </c>
      <c r="EA92" s="41" t="n">
        <f aca="false">Tasks[[#This Row],[_WorkPerWorkday]]*(Tasks[[#This Row],[_StartWorkday]]-1)</f>
        <v>-0</v>
      </c>
      <c r="EB92" s="41" t="n">
        <f aca="false">IF(Tasks[[#This Row],[_IsLeaf]]=1,MAX(N(Tasks[[#This Row],[Duration]]),0.1),0)</f>
        <v>0</v>
      </c>
      <c r="EC92" s="41" t="n">
        <f aca="false">Tasks[[#This Row],[_WeightDur]]*Tasks[[#This Row],[_LeafProgress]]</f>
        <v>0</v>
      </c>
      <c r="ED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2" s="41" t="str">
        <f aca="false">IF(AND(Tasks[[#This Row],[_IsLeaf]]=1,N(Tasks[[#This Row],[Duration]])=0,Tasks[[#This Row],[_LeafProgress]]&lt;1),Tasks[[#This Row],[_ShownFcstFinish]]+Tasks[[#This Row],[_Row]]/100000,"")</f>
        <v/>
      </c>
      <c r="EF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2" s="41" t="n">
        <f aca="false">IF(NOT(Tasks[[#This Row],[_IsLeaf]]=1),0,IF(Tasks[[#This Row],[Baseline Cost]]="",Tasks[[#This Row],[_LeafTotalCost]],N(Tasks[[#This Row],[Baseline Cost]])))</f>
        <v>0</v>
      </c>
      <c r="EH92" s="41" t="n">
        <f aca="false">Tasks[[#This Row],[_LeafBudget]]*Tasks[[#This Row],[_PlannedPct]]</f>
        <v>0</v>
      </c>
      <c r="EI92" s="41" t="n">
        <f aca="false">Tasks[[#This Row],[_LeafBudget]]*Tasks[[#This Row],[_LeafProgress]]</f>
        <v>0</v>
      </c>
      <c r="EJ92" s="41" t="n">
        <f aca="false">IF(NOT(Tasks[[#This Row],[_IsLeaf]]=1),0,IF(Tasks[[#This Row],[Actual Cost]]="",Tasks[[#This Row],[_LeafTotalCost]]*Tasks[[#This Row],[_LeafProgress]],N(Tasks[[#This Row],[Actual Cost]])))</f>
        <v>0</v>
      </c>
      <c r="EK92" s="41" t="str">
        <f aca="false">IF(Tasks[[#This Row],[Task Name]]="","",LEFT(Tasks[[#This Row],[WBS]],FIND(".",Tasks[[#This Row],[WBS]]&amp;".")-1))</f>
        <v/>
      </c>
      <c r="EL92" s="41" t="str">
        <f aca="false">IF(AND(Tasks[[#This Row],[Task Name]]&lt;&gt;"",Tasks[[#This Row],[_Level]]=1),Tasks[[#This Row],[_Row]],"")</f>
        <v/>
      </c>
      <c r="EM92" s="41" t="str">
        <f aca="false">IF(AND(Tasks[[#This Row],[_IsLeaf]]=1,N(Tasks[[#This Row],[Duration]])=0),Tasks[[#This Row],[Planned Finish]]+Tasks[[#This Row],[_Row]]/100000,"")</f>
        <v/>
      </c>
      <c r="EN92" s="41" t="str">
        <f aca="false">IF(AND(Tasks[[#This Row],[_IsLeaf]]=1,Tasks[[#This Row],[_LeafProgress]]&lt;1,OR(N(Tasks[[#This Row],[Finish Var]])&gt;0,Tasks[[#This Row],[Status]]="Late Start")),MAX(0,Tasks[[#This Row],[Finish Var]])+1-Tasks[[#This Row],[_Row]]/1000000,"")</f>
        <v/>
      </c>
      <c r="EO92" s="41" t="str">
        <f aca="false">IF(AND(Tasks[[#This Row],[_IsLeaf]]=1,N(Tasks[[#This Row],[Actual Start]])=0,Tasks[[#This Row],[_ShownFcstStart]]&gt;=StatusDate,Tasks[[#This Row],[_ShownFcstStart]]&lt;=LookaheadEnd),Tasks[[#This Row],[_ShownFcstStart]]+Tasks[[#This Row],[_Row]]/100000,"")</f>
        <v/>
      </c>
      <c r="EP92" s="41" t="str">
        <f aca="false">IF(AND(Tasks[[#This Row],[_IsLeaf]]=1,Tasks[[#This Row],[_LeafProgress]]&lt;1,Tasks[[#This Row],[_ShownFcstFinish]]&gt;=StatusDate,Tasks[[#This Row],[_ShownFcstFinish]]&lt;=LookaheadEnd),Tasks[[#This Row],[_ShownFcstFinish]]+Tasks[[#This Row],[_Row]]/100000,"")</f>
        <v/>
      </c>
      <c r="EQ92" s="41" t="str">
        <f aca="false">IF(Tasks[[#This Row],[_LeafCritical]],Tasks[[#This Row],[_ShownFcstStart]]+Tasks[[#This Row],[_Row]]/100000,"")</f>
        <v/>
      </c>
      <c r="ER92" s="41" t="n">
        <f aca="false">Tasks[[#This Row],[_LeafWork]]*Tasks[[#This Row],[_LeafProgress]]</f>
        <v>0</v>
      </c>
      <c r="ES92" s="101" t="str">
        <f aca="false">IF(AND(Tasks[[#This Row],[_IsLeaf]]=1,Tasks[[#This Row],[_LeafProgress]]&gt;=1),IF(N(Tasks[[#This Row],[Actual Finish]])&gt;0,Tasks[[#This Row],[Actual Finish]],Tasks[[#This Row],[_ShownFcstFinish]]),"")</f>
        <v/>
      </c>
      <c r="ET92" s="41" t="n">
        <f aca="false">IF(Tasks[[#This Row],[_IsLeaf]]=1,N(Tasks[[#This Row],[Story Points]]),0)</f>
        <v>0</v>
      </c>
      <c r="EU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29"/>
      <c r="O93" s="29"/>
      <c r="P93" s="29"/>
      <c r="Q93" s="29"/>
      <c r="R93" s="29"/>
      <c r="S93" s="29"/>
      <c r="T93" s="30"/>
      <c r="U93" s="75"/>
      <c r="V93" s="75"/>
      <c r="W93" s="25" t="str">
        <f aca="false">IF(Tasks[[#This Row],[Task Name]]="","",IF(N(Tasks[[#This Row],[Baseline Start]])&gt;0,Tasks[[#This Row],[Baseline Start]],Tasks[[#This Row],[_CalcStart]]))</f>
        <v/>
      </c>
      <c r="X93" s="25" t="str">
        <f aca="false">IF(Tasks[[#This Row],[Task Name]]="","",IF(N(Tasks[[#This Row],[Baseline Finish]])&gt;0,Tasks[[#This Row],[Baseline Finish]],Tasks[[#This Row],[_CalcFinish]]))</f>
        <v/>
      </c>
      <c r="Y93" s="75"/>
      <c r="Z93" s="75"/>
      <c r="AA93" s="25" t="str">
        <f aca="false">IF(Tasks[[#This Row],[Task Name]]="","",IF(Tasks[[#This Row],[_IsSummary]],MIN(INDEX(Tasks[_ShownFcstStart],Tasks[[#This Row],[_Row]]+1):INDEX(Tasks[_ShownFcstStart],Tasks[[#This Row],[_Row]]+Tasks[[#This Row],[_Descendants]])),Tasks[[#This Row],[_ShownFcstStart]]))</f>
        <v/>
      </c>
      <c r="AB93" s="25" t="str">
        <f aca="false">IF(Tasks[[#This Row],[Task Name]]="","",IF(Tasks[[#This Row],[_IsSummary]],MAX(INDEX(Tasks[_ShownFcstFinish],Tasks[[#This Row],[_Row]]+1):INDEX(Tasks[_ShownFcstFinish],Tasks[[#This Row],[_Row]]+Tasks[[#This Row],[_Descendants]])),Tasks[[#This Row],[_ShownFcstFinish]]))</f>
        <v/>
      </c>
      <c r="AC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3" s="25" t="str">
        <f aca="false">IF(Tasks[[#This Row],[Task Name]]="","",IF(Tasks[[#This Row],[_IsSummary]],MIN(INDEX(Tasks[_LeafLateStart],Tasks[[#This Row],[_Row]]+1):INDEX(Tasks[_LeafLateStart],Tasks[[#This Row],[_Row]]+Tasks[[#This Row],[_Descendants]])),Tasks[[#This Row],[_LeafLateStart]]))</f>
        <v/>
      </c>
      <c r="AF93" s="25" t="str">
        <f aca="false">IF(Tasks[[#This Row],[Task Name]]="","",IF(Tasks[[#This Row],[_IsSummary]],MAX(INDEX(Tasks[_LeafLateFinish],Tasks[[#This Row],[_Row]]+1):INDEX(Tasks[_LeafLateFinish],Tasks[[#This Row],[_Row]]+Tasks[[#This Row],[_Descendants]])),Tasks[[#This Row],[_LeafLateFinish]]))</f>
        <v/>
      </c>
      <c r="AG93" s="28" t="str">
        <f aca="false">IF(Tasks[[#This Row],[Task Name]]="","",IF(Tasks[[#This Row],[_IsSummary]],MIN(INDEX(Tasks[_LeafTotalSlack],Tasks[[#This Row],[_Row]]+1):INDEX(Tasks[_LeafTotalSlack],Tasks[[#This Row],[_Row]]+Tasks[[#This Row],[_Descendants]])),Tasks[[#This Row],[_LeafTotalSlack]]))</f>
        <v/>
      </c>
      <c r="AH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3" s="28" t="str">
        <f aca="false">IF(Tasks[[#This Row],[Task Name]]="","",IF(IF(Tasks[[#This Row],[_IsSummary]],COUNTIF(INDEX(Tasks[_LeafCritical],Tasks[[#This Row],[_Row]]+1):INDEX(Tasks[_LeafCritical],Tasks[[#This Row],[_Row]]+Tasks[[#This Row],[_Descendants]]),TRUE())&gt;0,Tasks[[#This Row],[_LeafCritical]]),"Yes",""))</f>
        <v/>
      </c>
      <c r="AJ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3" s="89"/>
      <c r="AM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3" s="28" t="str">
        <f aca="false">IF(Tasks[[#This Row],[Task Name]]="","",IF(Tasks[[#This Row],[Progress]]&gt;=1,"Complete",IF(OR(N(Tasks[[#This Row],[Actual Start]])&gt;0,Tasks[[#This Row],[Progress]]&gt;0),IF(Tasks[[#This Row],[Finish Var]]&gt;0,"Behind","In Progress"),IF(Tasks[[#This Row],[Planned Start]]&lt;StatusDate,"Late Start","Not Started"))))</f>
        <v/>
      </c>
      <c r="AO93" s="30"/>
      <c r="AP93" s="89"/>
      <c r="AQ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3" s="96" t="str">
        <f aca="false">IF(Tasks[[#This Row],[Task Name]]="","",IF(Tasks[[#This Row],[_IsSummary]],SUM(INDEX(Tasks[_LeafTotalWork],Tasks[[#This Row],[_Row]]+1):INDEX(Tasks[_LeafTotalWork],Tasks[[#This Row],[_Row]]+Tasks[[#This Row],[_Descendants]])),Tasks[[#This Row],[_LeafTotalWork]]))</f>
        <v/>
      </c>
      <c r="AT93" s="97" t="str">
        <f aca="false">IF(Tasks[[#This Row],[Task Name]]="","",IF(Tasks[[#This Row],[_IsSummary]],SUM(INDEX(Tasks[_LeafTotalCost],Tasks[[#This Row],[_Row]]+1):INDEX(Tasks[_LeafTotalCost],Tasks[[#This Row],[_Row]]+Tasks[[#This Row],[_Descendants]])),Tasks[[#This Row],[_LeafTotalCost]]))</f>
        <v/>
      </c>
      <c r="AU93" s="98"/>
      <c r="AV93" s="29"/>
      <c r="AW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3" s="83"/>
      <c r="AY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3" s="30"/>
      <c r="BA93" s="25" t="str">
        <f aca="false">IF(Tasks[[#This Row],[Task Name]]="","",Tasks[[#This Row],[Forecast Start]])</f>
        <v/>
      </c>
      <c r="BB93" s="25" t="str">
        <f aca="false">IF(Tasks[[#This Row],[Task Name]]="","",Tasks[[#This Row],[Forecast Finish]])</f>
        <v/>
      </c>
      <c r="BC93" s="28" t="str">
        <f aca="false">IF(Tasks[[#This Row],[Task Name]]="","",IF(Tasks[[#This Row],[_IsSummary]],NETWORKDAYS.INTL(Tasks[[#This Row],[Forecast Start]],Tasks[[#This Row],[Forecast Finish]],WorkWeek,Holidays),N(Tasks[[#This Row],[Duration]])))</f>
        <v/>
      </c>
      <c r="BD93" s="96" t="str">
        <f aca="false">IF(Tasks[[#This Row],[Task Name]]="","",Tasks[[#This Row],[Work]])</f>
        <v/>
      </c>
      <c r="BE93" s="97" t="str">
        <f aca="false">IF(Tasks[[#This Row],[Task Name]]="","",Tasks[[#This Row],[Cost]])</f>
        <v/>
      </c>
      <c r="BF93" s="75"/>
      <c r="BG93" s="75"/>
      <c r="BH93" s="29"/>
      <c r="BI93" s="99"/>
      <c r="BJ93" s="98"/>
      <c r="BK93" s="28" t="str">
        <f aca="false">IF(OR(Tasks[[#This Row],[Task Name]]="",Tasks[[#This Row],[Baseline Duration]]=""),"",Tasks[[#This Row],[BL Source Duration]]-N(Tasks[[#This Row],[Baseline Duration]]))</f>
        <v/>
      </c>
      <c r="BL93" s="96" t="str">
        <f aca="false">IF(OR(Tasks[[#This Row],[Task Name]]="",Tasks[[#This Row],[Baseline Work]]=""),"",Tasks[[#This Row],[Work]]-N(Tasks[[#This Row],[Baseline Work]]))</f>
        <v/>
      </c>
      <c r="BM93" s="97" t="str">
        <f aca="false">IF(OR(Tasks[[#This Row],[Task Name]]="",Tasks[[#This Row],[Baseline Cost]]=""),"",Tasks[[#This Row],[Cost]]-N(Tasks[[#This Row],[Baseline Cost]]))</f>
        <v/>
      </c>
      <c r="BN93" s="97" t="str">
        <f aca="false">IF(Tasks[[#This Row],[Task Name]]="","",IF(Tasks[[#This Row],[_IsSummary]],SUM(INDEX(Tasks[_LeafBudget],Tasks[[#This Row],[_Row]]+1):INDEX(Tasks[_LeafBudget],Tasks[[#This Row],[_Row]]+Tasks[[#This Row],[_Descendants]])),Tasks[[#This Row],[_LeafBudget]]))</f>
        <v/>
      </c>
      <c r="BO93" s="97" t="str">
        <f aca="false">IF(Tasks[[#This Row],[Task Name]]="","",IF(Tasks[[#This Row],[_IsSummary]],SUM(INDEX(Tasks[_LeafPV],Tasks[[#This Row],[_Row]]+1):INDEX(Tasks[_LeafPV],Tasks[[#This Row],[_Row]]+Tasks[[#This Row],[_Descendants]])),Tasks[[#This Row],[_LeafPV]]))</f>
        <v/>
      </c>
      <c r="BP93" s="97" t="str">
        <f aca="false">IF(Tasks[[#This Row],[Task Name]]="","",IF(Tasks[[#This Row],[_IsSummary]],SUM(INDEX(Tasks[_LeafEV],Tasks[[#This Row],[_Row]]+1):INDEX(Tasks[_LeafEV],Tasks[[#This Row],[_Row]]+Tasks[[#This Row],[_Descendants]])),Tasks[[#This Row],[_LeafEV]]))</f>
        <v/>
      </c>
      <c r="BQ93" s="97" t="str">
        <f aca="false">IF(Tasks[[#This Row],[Task Name]]="","",IF(Tasks[[#This Row],[_IsSummary]],SUM(INDEX(Tasks[_LeafAC],Tasks[[#This Row],[_Row]]+1):INDEX(Tasks[_LeafAC],Tasks[[#This Row],[_Row]]+Tasks[[#This Row],[_Descendants]])),Tasks[[#This Row],[_LeafAC]]))</f>
        <v/>
      </c>
      <c r="BR93" s="41" t="str">
        <f aca="false">IF(Tasks[[#This Row],[Task Name]]="","",MAX(1,N(Tasks[[#This Row],[Level]])))</f>
        <v/>
      </c>
      <c r="BS93" s="41" t="n">
        <f aca="false">ROW()-ROW(Tasks[[#Headers],[ID]])</f>
        <v>88</v>
      </c>
      <c r="BT93" s="41" t="n">
        <f aca="false">IF(OR(Tasks[[#This Row],[Task Name]]="",Tasks[[#This Row],[_Level]]&lt;=1),0,IFERROR(LOOKUP(2,1/(Tasks[[#Headers],[_Level]]:Tasks[[#This Row],[_Level]]=Tasks[[#This Row],[_Level]]-1),ROW(Tasks[[#Headers],[_Level]]:Tasks[[#This Row],[_Level]])),0))</f>
        <v>0</v>
      </c>
      <c r="BU93" s="41" t="n">
        <f aca="false">IFERROR(N(INDEX(Tasks[_Level],Tasks[[#This Row],[_Row]]+1)),0)</f>
        <v>0</v>
      </c>
      <c r="BV93" s="100" t="b">
        <f aca="false">AND(Tasks[[#This Row],[Task Name]]&lt;&gt;"",Tasks[[#This Row],[_NextLevel]]&gt;Tasks[[#This Row],[_Level]])</f>
        <v>0</v>
      </c>
      <c r="BW93" s="41" t="n">
        <f aca="false">IF(Tasks[[#This Row],[_IsSummary]],COUNTIF(Tasks[WBS],Tasks[[#This Row],[WBS]]&amp;".*"),0)</f>
        <v>0</v>
      </c>
      <c r="BX93" s="41" t="n">
        <f aca="false">IF(AND(Tasks[[#This Row],[Task Name]]&lt;&gt;"",NOT(Tasks[[#This Row],[_IsSummary]])),1,0)</f>
        <v>0</v>
      </c>
      <c r="BY93" s="41" t="n">
        <f aca="false">IF(N(Tasks[[#This Row],[Pred1 UID]])=0,0,IFERROR(MATCH(Tasks[[#This Row],[Pred1 UID]],Tasks[UID],0),-1))</f>
        <v>0</v>
      </c>
      <c r="BZ93" s="41" t="n">
        <f aca="false">IF(N(Tasks[[#This Row],[Pred2 UID]])=0,0,IFERROR(MATCH(Tasks[[#This Row],[Pred2 UID]],Tasks[UID],0),-1))</f>
        <v>0</v>
      </c>
      <c r="CA93" s="41" t="n">
        <f aca="false">IF(N(Tasks[[#This Row],[Pred3 UID]])=0,0,IFERROR(MATCH(Tasks[[#This Row],[Pred3 UID]],Tasks[UID],0),-1))</f>
        <v>0</v>
      </c>
      <c r="CB93" s="41" t="n">
        <f aca="false">IF(N(Tasks[[#This Row],[Pred4 UID]])=0,0,IFERROR(MATCH(Tasks[[#This Row],[Pred4 UID]],Tasks[UID],0),-1))</f>
        <v>0</v>
      </c>
      <c r="CC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3" s="101" t="n">
        <f aca="false">IF(OR(Tasks[[#This Row],[_ConstraintCode]]=2,Tasks[[#This Row],[_ConstraintCode]]=3,Tasks[[#This Row],[_ConstraintCode]]=4,Tasks[[#This Row],[_ConstraintCode]]=6),Tasks[[#This Row],[_ConstraintStart]],0)</f>
        <v>0</v>
      </c>
      <c r="CF93" s="101" t="n">
        <f aca="false">IF(OR(Tasks[[#This Row],[_ConstraintCode]]=2,Tasks[[#This Row],[_ConstraintCode]]=3,Tasks[[#This Row],[_ConstraintCode]]=5,Tasks[[#This Row],[_ConstraintCode]]=7),Tasks[[#This Row],[_ConstraintStart]],2958465)</f>
        <v>2958465</v>
      </c>
      <c r="CG9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3" s="101" t="str">
        <f aca="false">IF(NOT(Tasks[[#This Row],[_IsLeaf]]=1),"",IF(N(Tasks[[#This Row],[Duration]])&lt;=0,Tasks[[#This Row],[_LeafCalcStart]],WORKDAY.INTL(Tasks[[#This Row],[_LeafCalcStart]],Tasks[[#This Row],[Duration]]-1,WorkWeek,Holidays)))</f>
        <v/>
      </c>
      <c r="CI9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3" s="41" t="n">
        <f aca="false">IF(NOT(Tasks[[#This Row],[_IsLeaf]]=1),0,IF(N(Tasks[[#This Row],[Actual Finish]])&gt;0,1,MIN(1,N(Tasks[[#This Row],[% Complete]]))))</f>
        <v>0</v>
      </c>
      <c r="CL93" s="41" t="n">
        <f aca="false">IF(OR(NOT(Tasks[[#This Row],[_IsLeaf]]=1),Tasks[[#This Row],[Resource]]=""),0,N(Tasks[[#This Row],[Duration]])*HoursPerDay*IF(Tasks[[#This Row],[Units]]="",DefaultUnits,Tasks[[#This Row],[Units]]))</f>
        <v>0</v>
      </c>
      <c r="CM93" s="41" t="n">
        <f aca="false">IF(Tasks[[#This Row],[_LeafWork]]=0,0,Tasks[[#This Row],[_LeafWork]]*IFERROR(INDEX(res_Rate,MATCH(Tasks[[#This Row],[Resource]],res_Name,0)),0))</f>
        <v>0</v>
      </c>
      <c r="CN93" s="41" t="n">
        <f aca="false">Tasks[[#This Row],[_LeafWork]]+IF(Tasks[[#This Row],[_IsLeaf]]=1,SUMIFS(asg_Work,asg_TaskUID,Tasks[[#This Row],[UID]],asg_Valid,1),0)</f>
        <v>0</v>
      </c>
      <c r="CO93" s="41" t="n">
        <f aca="false">Tasks[[#This Row],[_LeafCost]]+IF(Tasks[[#This Row],[_IsLeaf]]=1,SUMIFS(asg_Cost,asg_TaskUID,Tasks[[#This Row],[UID]],asg_Valid,1),0)</f>
        <v>0</v>
      </c>
      <c r="CP93" s="41" t="n">
        <f aca="false">IF(Tasks[[#This Row],[_LeafTotalCost]]=0,Tasks[[#This Row],[_LeafAC]],Tasks[[#This Row],[_LeafAC]]*Tasks[[#This Row],[_LeafCost]]/Tasks[[#This Row],[_LeafTotalCost]])</f>
        <v>0</v>
      </c>
      <c r="CQ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3" s="41" t="n">
        <f aca="false">IF(NOT(Tasks[[#This Row],[_IsLeaf]]=1),0,MAX(_xlfn.MAXIFS(Tasks[_Row],Tasks[Pred1 UID],Tasks[[#This Row],[UID]]),_xlfn.MAXIFS(Tasks[_Row],Tasks[Pred2 UID],Tasks[[#This Row],[UID]]),_xlfn.MAXIFS(Tasks[_Row],Tasks[Pred3 UID],Tasks[[#This Row],[UID]]),_xlfn.MAXIFS(Tasks[_Row],Tasks[Pred4 UID],Tasks[[#This Row],[UID]])))</f>
        <v>0</v>
      </c>
      <c r="CZ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3" s="101" t="str">
        <f aca="false">IF(NOT(Tasks[[#This Row],[_IsLeaf]]=1),"",IF(N(Tasks[[#This Row],[Duration]])&lt;=0,Tasks[[#This Row],[_LeafLateFinish]],WORKDAY.INTL(Tasks[[#This Row],[_LeafLateFinish]],-(Tasks[[#This Row],[Duration]]-1),WorkWeek,Holidays)))</f>
        <v/>
      </c>
      <c r="DC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3" s="100" t="b">
        <f aca="false">AND(Tasks[[#This Row],[_IsLeaf]]=1,Tasks[[#This Row],[_LeafProgress]]&lt;1,N(Tasks[[#This Row],[_LeafTotalSlack]])&lt;=CriticalSlackDays)</f>
        <v>0</v>
      </c>
      <c r="DE93" s="41" t="n">
        <f aca="false">IF(AND(Tasks[[#This Row],[_IsLeaf]]=1,Tasks[[#This Row],[_ConstraintCode]]=1,Tasks[[#This Row],[Mode]]&lt;&gt;"Manual",N(Tasks[[#This Row],[Actual Start]])=0),MAX(0,N(Tasks[[#This Row],[Free Slack]])),0)</f>
        <v>0</v>
      </c>
      <c r="DF93" s="101" t="str">
        <f aca="false">IF(NOT(Tasks[[#This Row],[_IsLeaf]]=1),"",IF(Tasks[[#This Row],[_AlapShift]]=0,Tasks[[#This Row],[_LeafCalcStart]],WORKDAY.INTL(Tasks[[#This Row],[_LeafCalcStart]],Tasks[[#This Row],[_AlapShift]],WorkWeek,Holidays)))</f>
        <v/>
      </c>
      <c r="DG93" s="101" t="str">
        <f aca="false">IF(NOT(Tasks[[#This Row],[_IsLeaf]]=1),"",IF(Tasks[[#This Row],[_AlapShift]]=0,Tasks[[#This Row],[_LeafCalcFinish]],WORKDAY.INTL(Tasks[[#This Row],[_LeafCalcFinish]],Tasks[[#This Row],[_AlapShift]],WorkWeek,Holidays)))</f>
        <v/>
      </c>
      <c r="DH93" s="101" t="str">
        <f aca="false">IF(NOT(Tasks[[#This Row],[_IsLeaf]]=1),"",IF(Tasks[[#This Row],[_AlapShift]]=0,Tasks[[#This Row],[_LeafFcstStart]],WORKDAY.INTL(Tasks[[#This Row],[_LeafFcstStart]],Tasks[[#This Row],[_AlapShift]],WorkWeek,Holidays)))</f>
        <v/>
      </c>
      <c r="DI93" s="101" t="str">
        <f aca="false">IF(NOT(Tasks[[#This Row],[_IsLeaf]]=1),"",IF(Tasks[[#This Row],[_AlapShift]]=0,Tasks[[#This Row],[_LeafFcstFinish]],WORKDAY.INTL(Tasks[[#This Row],[_LeafFcstFinish]],Tasks[[#This Row],[_AlapShift]],WorkWeek,Holidays)))</f>
        <v/>
      </c>
      <c r="DJ93" s="101" t="str">
        <f aca="false">IF(Tasks[[#This Row],[Task Name]]="","",IF(Tasks[[#This Row],[_IsSummary]],MIN(INDEX(Tasks[_ShownCalcStart],Tasks[[#This Row],[_Row]]+1):INDEX(Tasks[_ShownCalcStart],Tasks[[#This Row],[_Row]]+Tasks[[#This Row],[_Descendants]])),Tasks[[#This Row],[_ShownCalcStart]]))</f>
        <v/>
      </c>
      <c r="DK93" s="101" t="str">
        <f aca="false">IF(Tasks[[#This Row],[Task Name]]="","",IF(Tasks[[#This Row],[_IsSummary]],MAX(INDEX(Tasks[_ShownCalcFinish],Tasks[[#This Row],[_Row]]+1):INDEX(Tasks[_ShownCalcFinish],Tasks[[#This Row],[_Row]]+Tasks[[#This Row],[_Descendants]])),Tasks[[#This Row],[_ShownCalcFinish]]))</f>
        <v/>
      </c>
      <c r="D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3" s="41" t="n">
        <f aca="false">IF(AND(Tasks[[#This Row],[_IsLeaf]]=1,Tasks[[#This Row],[_LeafTotalWork]]&gt;0),NETWORKDAYS.INTL(ProjectStart,Tasks[[#This Row],[_ShownFcstStart]],WorkWeek,Holidays),0)</f>
        <v>0</v>
      </c>
      <c r="DY93" s="41" t="n">
        <f aca="false">IF(AND(Tasks[[#This Row],[_IsLeaf]]=1,Tasks[[#This Row],[_LeafTotalWork]]&gt;0),MAX(Tasks[[#This Row],[_StartWorkday]],NETWORKDAYS.INTL(ProjectStart,Tasks[[#This Row],[_ShownFcstFinish]],WorkWeek,Holidays)),0)</f>
        <v>0</v>
      </c>
      <c r="DZ93" s="41" t="n">
        <f aca="false">IF(AND(Tasks[[#This Row],[_IsLeaf]]=1,Tasks[[#This Row],[_LeafTotalWork]]&gt;0),Tasks[[#This Row],[_LeafWork]]/(Tasks[[#This Row],[_FinishWorkday]]-Tasks[[#This Row],[_StartWorkday]]+1),0)</f>
        <v>0</v>
      </c>
      <c r="EA93" s="41" t="n">
        <f aca="false">Tasks[[#This Row],[_WorkPerWorkday]]*(Tasks[[#This Row],[_StartWorkday]]-1)</f>
        <v>-0</v>
      </c>
      <c r="EB93" s="41" t="n">
        <f aca="false">IF(Tasks[[#This Row],[_IsLeaf]]=1,MAX(N(Tasks[[#This Row],[Duration]]),0.1),0)</f>
        <v>0</v>
      </c>
      <c r="EC93" s="41" t="n">
        <f aca="false">Tasks[[#This Row],[_WeightDur]]*Tasks[[#This Row],[_LeafProgress]]</f>
        <v>0</v>
      </c>
      <c r="ED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3" s="41" t="str">
        <f aca="false">IF(AND(Tasks[[#This Row],[_IsLeaf]]=1,N(Tasks[[#This Row],[Duration]])=0,Tasks[[#This Row],[_LeafProgress]]&lt;1),Tasks[[#This Row],[_ShownFcstFinish]]+Tasks[[#This Row],[_Row]]/100000,"")</f>
        <v/>
      </c>
      <c r="EF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3" s="41" t="n">
        <f aca="false">IF(NOT(Tasks[[#This Row],[_IsLeaf]]=1),0,IF(Tasks[[#This Row],[Baseline Cost]]="",Tasks[[#This Row],[_LeafTotalCost]],N(Tasks[[#This Row],[Baseline Cost]])))</f>
        <v>0</v>
      </c>
      <c r="EH93" s="41" t="n">
        <f aca="false">Tasks[[#This Row],[_LeafBudget]]*Tasks[[#This Row],[_PlannedPct]]</f>
        <v>0</v>
      </c>
      <c r="EI93" s="41" t="n">
        <f aca="false">Tasks[[#This Row],[_LeafBudget]]*Tasks[[#This Row],[_LeafProgress]]</f>
        <v>0</v>
      </c>
      <c r="EJ93" s="41" t="n">
        <f aca="false">IF(NOT(Tasks[[#This Row],[_IsLeaf]]=1),0,IF(Tasks[[#This Row],[Actual Cost]]="",Tasks[[#This Row],[_LeafTotalCost]]*Tasks[[#This Row],[_LeafProgress]],N(Tasks[[#This Row],[Actual Cost]])))</f>
        <v>0</v>
      </c>
      <c r="EK93" s="41" t="str">
        <f aca="false">IF(Tasks[[#This Row],[Task Name]]="","",LEFT(Tasks[[#This Row],[WBS]],FIND(".",Tasks[[#This Row],[WBS]]&amp;".")-1))</f>
        <v/>
      </c>
      <c r="EL93" s="41" t="str">
        <f aca="false">IF(AND(Tasks[[#This Row],[Task Name]]&lt;&gt;"",Tasks[[#This Row],[_Level]]=1),Tasks[[#This Row],[_Row]],"")</f>
        <v/>
      </c>
      <c r="EM93" s="41" t="str">
        <f aca="false">IF(AND(Tasks[[#This Row],[_IsLeaf]]=1,N(Tasks[[#This Row],[Duration]])=0),Tasks[[#This Row],[Planned Finish]]+Tasks[[#This Row],[_Row]]/100000,"")</f>
        <v/>
      </c>
      <c r="EN93" s="41" t="str">
        <f aca="false">IF(AND(Tasks[[#This Row],[_IsLeaf]]=1,Tasks[[#This Row],[_LeafProgress]]&lt;1,OR(N(Tasks[[#This Row],[Finish Var]])&gt;0,Tasks[[#This Row],[Status]]="Late Start")),MAX(0,Tasks[[#This Row],[Finish Var]])+1-Tasks[[#This Row],[_Row]]/1000000,"")</f>
        <v/>
      </c>
      <c r="EO93" s="41" t="str">
        <f aca="false">IF(AND(Tasks[[#This Row],[_IsLeaf]]=1,N(Tasks[[#This Row],[Actual Start]])=0,Tasks[[#This Row],[_ShownFcstStart]]&gt;=StatusDate,Tasks[[#This Row],[_ShownFcstStart]]&lt;=LookaheadEnd),Tasks[[#This Row],[_ShownFcstStart]]+Tasks[[#This Row],[_Row]]/100000,"")</f>
        <v/>
      </c>
      <c r="EP93" s="41" t="str">
        <f aca="false">IF(AND(Tasks[[#This Row],[_IsLeaf]]=1,Tasks[[#This Row],[_LeafProgress]]&lt;1,Tasks[[#This Row],[_ShownFcstFinish]]&gt;=StatusDate,Tasks[[#This Row],[_ShownFcstFinish]]&lt;=LookaheadEnd),Tasks[[#This Row],[_ShownFcstFinish]]+Tasks[[#This Row],[_Row]]/100000,"")</f>
        <v/>
      </c>
      <c r="EQ93" s="41" t="str">
        <f aca="false">IF(Tasks[[#This Row],[_LeafCritical]],Tasks[[#This Row],[_ShownFcstStart]]+Tasks[[#This Row],[_Row]]/100000,"")</f>
        <v/>
      </c>
      <c r="ER93" s="41" t="n">
        <f aca="false">Tasks[[#This Row],[_LeafWork]]*Tasks[[#This Row],[_LeafProgress]]</f>
        <v>0</v>
      </c>
      <c r="ES93" s="101" t="str">
        <f aca="false">IF(AND(Tasks[[#This Row],[_IsLeaf]]=1,Tasks[[#This Row],[_LeafProgress]]&gt;=1),IF(N(Tasks[[#This Row],[Actual Finish]])&gt;0,Tasks[[#This Row],[Actual Finish]],Tasks[[#This Row],[_ShownFcstFinish]]),"")</f>
        <v/>
      </c>
      <c r="ET93" s="41" t="n">
        <f aca="false">IF(Tasks[[#This Row],[_IsLeaf]]=1,N(Tasks[[#This Row],[Story Points]]),0)</f>
        <v>0</v>
      </c>
      <c r="EU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29"/>
      <c r="O94" s="29"/>
      <c r="P94" s="29"/>
      <c r="Q94" s="29"/>
      <c r="R94" s="29"/>
      <c r="S94" s="29"/>
      <c r="T94" s="30"/>
      <c r="U94" s="75"/>
      <c r="V94" s="75"/>
      <c r="W94" s="25" t="str">
        <f aca="false">IF(Tasks[[#This Row],[Task Name]]="","",IF(N(Tasks[[#This Row],[Baseline Start]])&gt;0,Tasks[[#This Row],[Baseline Start]],Tasks[[#This Row],[_CalcStart]]))</f>
        <v/>
      </c>
      <c r="X94" s="25" t="str">
        <f aca="false">IF(Tasks[[#This Row],[Task Name]]="","",IF(N(Tasks[[#This Row],[Baseline Finish]])&gt;0,Tasks[[#This Row],[Baseline Finish]],Tasks[[#This Row],[_CalcFinish]]))</f>
        <v/>
      </c>
      <c r="Y94" s="75"/>
      <c r="Z94" s="75"/>
      <c r="AA94" s="25" t="str">
        <f aca="false">IF(Tasks[[#This Row],[Task Name]]="","",IF(Tasks[[#This Row],[_IsSummary]],MIN(INDEX(Tasks[_ShownFcstStart],Tasks[[#This Row],[_Row]]+1):INDEX(Tasks[_ShownFcstStart],Tasks[[#This Row],[_Row]]+Tasks[[#This Row],[_Descendants]])),Tasks[[#This Row],[_ShownFcstStart]]))</f>
        <v/>
      </c>
      <c r="AB94" s="25" t="str">
        <f aca="false">IF(Tasks[[#This Row],[Task Name]]="","",IF(Tasks[[#This Row],[_IsSummary]],MAX(INDEX(Tasks[_ShownFcstFinish],Tasks[[#This Row],[_Row]]+1):INDEX(Tasks[_ShownFcstFinish],Tasks[[#This Row],[_Row]]+Tasks[[#This Row],[_Descendants]])),Tasks[[#This Row],[_ShownFcstFinish]]))</f>
        <v/>
      </c>
      <c r="AC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4" s="25" t="str">
        <f aca="false">IF(Tasks[[#This Row],[Task Name]]="","",IF(Tasks[[#This Row],[_IsSummary]],MIN(INDEX(Tasks[_LeafLateStart],Tasks[[#This Row],[_Row]]+1):INDEX(Tasks[_LeafLateStart],Tasks[[#This Row],[_Row]]+Tasks[[#This Row],[_Descendants]])),Tasks[[#This Row],[_LeafLateStart]]))</f>
        <v/>
      </c>
      <c r="AF94" s="25" t="str">
        <f aca="false">IF(Tasks[[#This Row],[Task Name]]="","",IF(Tasks[[#This Row],[_IsSummary]],MAX(INDEX(Tasks[_LeafLateFinish],Tasks[[#This Row],[_Row]]+1):INDEX(Tasks[_LeafLateFinish],Tasks[[#This Row],[_Row]]+Tasks[[#This Row],[_Descendants]])),Tasks[[#This Row],[_LeafLateFinish]]))</f>
        <v/>
      </c>
      <c r="AG94" s="28" t="str">
        <f aca="false">IF(Tasks[[#This Row],[Task Name]]="","",IF(Tasks[[#This Row],[_IsSummary]],MIN(INDEX(Tasks[_LeafTotalSlack],Tasks[[#This Row],[_Row]]+1):INDEX(Tasks[_LeafTotalSlack],Tasks[[#This Row],[_Row]]+Tasks[[#This Row],[_Descendants]])),Tasks[[#This Row],[_LeafTotalSlack]]))</f>
        <v/>
      </c>
      <c r="AH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4" s="28" t="str">
        <f aca="false">IF(Tasks[[#This Row],[Task Name]]="","",IF(IF(Tasks[[#This Row],[_IsSummary]],COUNTIF(INDEX(Tasks[_LeafCritical],Tasks[[#This Row],[_Row]]+1):INDEX(Tasks[_LeafCritical],Tasks[[#This Row],[_Row]]+Tasks[[#This Row],[_Descendants]]),TRUE())&gt;0,Tasks[[#This Row],[_LeafCritical]]),"Yes",""))</f>
        <v/>
      </c>
      <c r="AJ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4" s="89"/>
      <c r="AM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4" s="28" t="str">
        <f aca="false">IF(Tasks[[#This Row],[Task Name]]="","",IF(Tasks[[#This Row],[Progress]]&gt;=1,"Complete",IF(OR(N(Tasks[[#This Row],[Actual Start]])&gt;0,Tasks[[#This Row],[Progress]]&gt;0),IF(Tasks[[#This Row],[Finish Var]]&gt;0,"Behind","In Progress"),IF(Tasks[[#This Row],[Planned Start]]&lt;StatusDate,"Late Start","Not Started"))))</f>
        <v/>
      </c>
      <c r="AO94" s="30"/>
      <c r="AP94" s="89"/>
      <c r="AQ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4" s="96" t="str">
        <f aca="false">IF(Tasks[[#This Row],[Task Name]]="","",IF(Tasks[[#This Row],[_IsSummary]],SUM(INDEX(Tasks[_LeafTotalWork],Tasks[[#This Row],[_Row]]+1):INDEX(Tasks[_LeafTotalWork],Tasks[[#This Row],[_Row]]+Tasks[[#This Row],[_Descendants]])),Tasks[[#This Row],[_LeafTotalWork]]))</f>
        <v/>
      </c>
      <c r="AT94" s="97" t="str">
        <f aca="false">IF(Tasks[[#This Row],[Task Name]]="","",IF(Tasks[[#This Row],[_IsSummary]],SUM(INDEX(Tasks[_LeafTotalCost],Tasks[[#This Row],[_Row]]+1):INDEX(Tasks[_LeafTotalCost],Tasks[[#This Row],[_Row]]+Tasks[[#This Row],[_Descendants]])),Tasks[[#This Row],[_LeafTotalCost]]))</f>
        <v/>
      </c>
      <c r="AU94" s="98"/>
      <c r="AV94" s="29"/>
      <c r="AW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4" s="83"/>
      <c r="AY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4" s="30"/>
      <c r="BA94" s="25" t="str">
        <f aca="false">IF(Tasks[[#This Row],[Task Name]]="","",Tasks[[#This Row],[Forecast Start]])</f>
        <v/>
      </c>
      <c r="BB94" s="25" t="str">
        <f aca="false">IF(Tasks[[#This Row],[Task Name]]="","",Tasks[[#This Row],[Forecast Finish]])</f>
        <v/>
      </c>
      <c r="BC94" s="28" t="str">
        <f aca="false">IF(Tasks[[#This Row],[Task Name]]="","",IF(Tasks[[#This Row],[_IsSummary]],NETWORKDAYS.INTL(Tasks[[#This Row],[Forecast Start]],Tasks[[#This Row],[Forecast Finish]],WorkWeek,Holidays),N(Tasks[[#This Row],[Duration]])))</f>
        <v/>
      </c>
      <c r="BD94" s="96" t="str">
        <f aca="false">IF(Tasks[[#This Row],[Task Name]]="","",Tasks[[#This Row],[Work]])</f>
        <v/>
      </c>
      <c r="BE94" s="97" t="str">
        <f aca="false">IF(Tasks[[#This Row],[Task Name]]="","",Tasks[[#This Row],[Cost]])</f>
        <v/>
      </c>
      <c r="BF94" s="75"/>
      <c r="BG94" s="75"/>
      <c r="BH94" s="29"/>
      <c r="BI94" s="99"/>
      <c r="BJ94" s="98"/>
      <c r="BK94" s="28" t="str">
        <f aca="false">IF(OR(Tasks[[#This Row],[Task Name]]="",Tasks[[#This Row],[Baseline Duration]]=""),"",Tasks[[#This Row],[BL Source Duration]]-N(Tasks[[#This Row],[Baseline Duration]]))</f>
        <v/>
      </c>
      <c r="BL94" s="96" t="str">
        <f aca="false">IF(OR(Tasks[[#This Row],[Task Name]]="",Tasks[[#This Row],[Baseline Work]]=""),"",Tasks[[#This Row],[Work]]-N(Tasks[[#This Row],[Baseline Work]]))</f>
        <v/>
      </c>
      <c r="BM94" s="97" t="str">
        <f aca="false">IF(OR(Tasks[[#This Row],[Task Name]]="",Tasks[[#This Row],[Baseline Cost]]=""),"",Tasks[[#This Row],[Cost]]-N(Tasks[[#This Row],[Baseline Cost]]))</f>
        <v/>
      </c>
      <c r="BN94" s="97" t="str">
        <f aca="false">IF(Tasks[[#This Row],[Task Name]]="","",IF(Tasks[[#This Row],[_IsSummary]],SUM(INDEX(Tasks[_LeafBudget],Tasks[[#This Row],[_Row]]+1):INDEX(Tasks[_LeafBudget],Tasks[[#This Row],[_Row]]+Tasks[[#This Row],[_Descendants]])),Tasks[[#This Row],[_LeafBudget]]))</f>
        <v/>
      </c>
      <c r="BO94" s="97" t="str">
        <f aca="false">IF(Tasks[[#This Row],[Task Name]]="","",IF(Tasks[[#This Row],[_IsSummary]],SUM(INDEX(Tasks[_LeafPV],Tasks[[#This Row],[_Row]]+1):INDEX(Tasks[_LeafPV],Tasks[[#This Row],[_Row]]+Tasks[[#This Row],[_Descendants]])),Tasks[[#This Row],[_LeafPV]]))</f>
        <v/>
      </c>
      <c r="BP94" s="97" t="str">
        <f aca="false">IF(Tasks[[#This Row],[Task Name]]="","",IF(Tasks[[#This Row],[_IsSummary]],SUM(INDEX(Tasks[_LeafEV],Tasks[[#This Row],[_Row]]+1):INDEX(Tasks[_LeafEV],Tasks[[#This Row],[_Row]]+Tasks[[#This Row],[_Descendants]])),Tasks[[#This Row],[_LeafEV]]))</f>
        <v/>
      </c>
      <c r="BQ94" s="97" t="str">
        <f aca="false">IF(Tasks[[#This Row],[Task Name]]="","",IF(Tasks[[#This Row],[_IsSummary]],SUM(INDEX(Tasks[_LeafAC],Tasks[[#This Row],[_Row]]+1):INDEX(Tasks[_LeafAC],Tasks[[#This Row],[_Row]]+Tasks[[#This Row],[_Descendants]])),Tasks[[#This Row],[_LeafAC]]))</f>
        <v/>
      </c>
      <c r="BR94" s="41" t="str">
        <f aca="false">IF(Tasks[[#This Row],[Task Name]]="","",MAX(1,N(Tasks[[#This Row],[Level]])))</f>
        <v/>
      </c>
      <c r="BS94" s="41" t="n">
        <f aca="false">ROW()-ROW(Tasks[[#Headers],[ID]])</f>
        <v>89</v>
      </c>
      <c r="BT94" s="41" t="n">
        <f aca="false">IF(OR(Tasks[[#This Row],[Task Name]]="",Tasks[[#This Row],[_Level]]&lt;=1),0,IFERROR(LOOKUP(2,1/(Tasks[[#Headers],[_Level]]:Tasks[[#This Row],[_Level]]=Tasks[[#This Row],[_Level]]-1),ROW(Tasks[[#Headers],[_Level]]:Tasks[[#This Row],[_Level]])),0))</f>
        <v>0</v>
      </c>
      <c r="BU94" s="41" t="n">
        <f aca="false">IFERROR(N(INDEX(Tasks[_Level],Tasks[[#This Row],[_Row]]+1)),0)</f>
        <v>0</v>
      </c>
      <c r="BV94" s="100" t="b">
        <f aca="false">AND(Tasks[[#This Row],[Task Name]]&lt;&gt;"",Tasks[[#This Row],[_NextLevel]]&gt;Tasks[[#This Row],[_Level]])</f>
        <v>0</v>
      </c>
      <c r="BW94" s="41" t="n">
        <f aca="false">IF(Tasks[[#This Row],[_IsSummary]],COUNTIF(Tasks[WBS],Tasks[[#This Row],[WBS]]&amp;".*"),0)</f>
        <v>0</v>
      </c>
      <c r="BX94" s="41" t="n">
        <f aca="false">IF(AND(Tasks[[#This Row],[Task Name]]&lt;&gt;"",NOT(Tasks[[#This Row],[_IsSummary]])),1,0)</f>
        <v>0</v>
      </c>
      <c r="BY94" s="41" t="n">
        <f aca="false">IF(N(Tasks[[#This Row],[Pred1 UID]])=0,0,IFERROR(MATCH(Tasks[[#This Row],[Pred1 UID]],Tasks[UID],0),-1))</f>
        <v>0</v>
      </c>
      <c r="BZ94" s="41" t="n">
        <f aca="false">IF(N(Tasks[[#This Row],[Pred2 UID]])=0,0,IFERROR(MATCH(Tasks[[#This Row],[Pred2 UID]],Tasks[UID],0),-1))</f>
        <v>0</v>
      </c>
      <c r="CA94" s="41" t="n">
        <f aca="false">IF(N(Tasks[[#This Row],[Pred3 UID]])=0,0,IFERROR(MATCH(Tasks[[#This Row],[Pred3 UID]],Tasks[UID],0),-1))</f>
        <v>0</v>
      </c>
      <c r="CB94" s="41" t="n">
        <f aca="false">IF(N(Tasks[[#This Row],[Pred4 UID]])=0,0,IFERROR(MATCH(Tasks[[#This Row],[Pred4 UID]],Tasks[UID],0),-1))</f>
        <v>0</v>
      </c>
      <c r="CC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4" s="101" t="n">
        <f aca="false">IF(OR(Tasks[[#This Row],[_ConstraintCode]]=2,Tasks[[#This Row],[_ConstraintCode]]=3,Tasks[[#This Row],[_ConstraintCode]]=4,Tasks[[#This Row],[_ConstraintCode]]=6),Tasks[[#This Row],[_ConstraintStart]],0)</f>
        <v>0</v>
      </c>
      <c r="CF94" s="101" t="n">
        <f aca="false">IF(OR(Tasks[[#This Row],[_ConstraintCode]]=2,Tasks[[#This Row],[_ConstraintCode]]=3,Tasks[[#This Row],[_ConstraintCode]]=5,Tasks[[#This Row],[_ConstraintCode]]=7),Tasks[[#This Row],[_ConstraintStart]],2958465)</f>
        <v>2958465</v>
      </c>
      <c r="CG9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4" s="101" t="str">
        <f aca="false">IF(NOT(Tasks[[#This Row],[_IsLeaf]]=1),"",IF(N(Tasks[[#This Row],[Duration]])&lt;=0,Tasks[[#This Row],[_LeafCalcStart]],WORKDAY.INTL(Tasks[[#This Row],[_LeafCalcStart]],Tasks[[#This Row],[Duration]]-1,WorkWeek,Holidays)))</f>
        <v/>
      </c>
      <c r="CI9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4" s="41" t="n">
        <f aca="false">IF(NOT(Tasks[[#This Row],[_IsLeaf]]=1),0,IF(N(Tasks[[#This Row],[Actual Finish]])&gt;0,1,MIN(1,N(Tasks[[#This Row],[% Complete]]))))</f>
        <v>0</v>
      </c>
      <c r="CL94" s="41" t="n">
        <f aca="false">IF(OR(NOT(Tasks[[#This Row],[_IsLeaf]]=1),Tasks[[#This Row],[Resource]]=""),0,N(Tasks[[#This Row],[Duration]])*HoursPerDay*IF(Tasks[[#This Row],[Units]]="",DefaultUnits,Tasks[[#This Row],[Units]]))</f>
        <v>0</v>
      </c>
      <c r="CM94" s="41" t="n">
        <f aca="false">IF(Tasks[[#This Row],[_LeafWork]]=0,0,Tasks[[#This Row],[_LeafWork]]*IFERROR(INDEX(res_Rate,MATCH(Tasks[[#This Row],[Resource]],res_Name,0)),0))</f>
        <v>0</v>
      </c>
      <c r="CN94" s="41" t="n">
        <f aca="false">Tasks[[#This Row],[_LeafWork]]+IF(Tasks[[#This Row],[_IsLeaf]]=1,SUMIFS(asg_Work,asg_TaskUID,Tasks[[#This Row],[UID]],asg_Valid,1),0)</f>
        <v>0</v>
      </c>
      <c r="CO94" s="41" t="n">
        <f aca="false">Tasks[[#This Row],[_LeafCost]]+IF(Tasks[[#This Row],[_IsLeaf]]=1,SUMIFS(asg_Cost,asg_TaskUID,Tasks[[#This Row],[UID]],asg_Valid,1),0)</f>
        <v>0</v>
      </c>
      <c r="CP94" s="41" t="n">
        <f aca="false">IF(Tasks[[#This Row],[_LeafTotalCost]]=0,Tasks[[#This Row],[_LeafAC]],Tasks[[#This Row],[_LeafAC]]*Tasks[[#This Row],[_LeafCost]]/Tasks[[#This Row],[_LeafTotalCost]])</f>
        <v>0</v>
      </c>
      <c r="CQ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4" s="41" t="n">
        <f aca="false">IF(NOT(Tasks[[#This Row],[_IsLeaf]]=1),0,MAX(_xlfn.MAXIFS(Tasks[_Row],Tasks[Pred1 UID],Tasks[[#This Row],[UID]]),_xlfn.MAXIFS(Tasks[_Row],Tasks[Pred2 UID],Tasks[[#This Row],[UID]]),_xlfn.MAXIFS(Tasks[_Row],Tasks[Pred3 UID],Tasks[[#This Row],[UID]]),_xlfn.MAXIFS(Tasks[_Row],Tasks[Pred4 UID],Tasks[[#This Row],[UID]])))</f>
        <v>0</v>
      </c>
      <c r="CZ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4" s="101" t="str">
        <f aca="false">IF(NOT(Tasks[[#This Row],[_IsLeaf]]=1),"",IF(N(Tasks[[#This Row],[Duration]])&lt;=0,Tasks[[#This Row],[_LeafLateFinish]],WORKDAY.INTL(Tasks[[#This Row],[_LeafLateFinish]],-(Tasks[[#This Row],[Duration]]-1),WorkWeek,Holidays)))</f>
        <v/>
      </c>
      <c r="DC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4" s="100" t="b">
        <f aca="false">AND(Tasks[[#This Row],[_IsLeaf]]=1,Tasks[[#This Row],[_LeafProgress]]&lt;1,N(Tasks[[#This Row],[_LeafTotalSlack]])&lt;=CriticalSlackDays)</f>
        <v>0</v>
      </c>
      <c r="DE94" s="41" t="n">
        <f aca="false">IF(AND(Tasks[[#This Row],[_IsLeaf]]=1,Tasks[[#This Row],[_ConstraintCode]]=1,Tasks[[#This Row],[Mode]]&lt;&gt;"Manual",N(Tasks[[#This Row],[Actual Start]])=0),MAX(0,N(Tasks[[#This Row],[Free Slack]])),0)</f>
        <v>0</v>
      </c>
      <c r="DF94" s="101" t="str">
        <f aca="false">IF(NOT(Tasks[[#This Row],[_IsLeaf]]=1),"",IF(Tasks[[#This Row],[_AlapShift]]=0,Tasks[[#This Row],[_LeafCalcStart]],WORKDAY.INTL(Tasks[[#This Row],[_LeafCalcStart]],Tasks[[#This Row],[_AlapShift]],WorkWeek,Holidays)))</f>
        <v/>
      </c>
      <c r="DG94" s="101" t="str">
        <f aca="false">IF(NOT(Tasks[[#This Row],[_IsLeaf]]=1),"",IF(Tasks[[#This Row],[_AlapShift]]=0,Tasks[[#This Row],[_LeafCalcFinish]],WORKDAY.INTL(Tasks[[#This Row],[_LeafCalcFinish]],Tasks[[#This Row],[_AlapShift]],WorkWeek,Holidays)))</f>
        <v/>
      </c>
      <c r="DH94" s="101" t="str">
        <f aca="false">IF(NOT(Tasks[[#This Row],[_IsLeaf]]=1),"",IF(Tasks[[#This Row],[_AlapShift]]=0,Tasks[[#This Row],[_LeafFcstStart]],WORKDAY.INTL(Tasks[[#This Row],[_LeafFcstStart]],Tasks[[#This Row],[_AlapShift]],WorkWeek,Holidays)))</f>
        <v/>
      </c>
      <c r="DI94" s="101" t="str">
        <f aca="false">IF(NOT(Tasks[[#This Row],[_IsLeaf]]=1),"",IF(Tasks[[#This Row],[_AlapShift]]=0,Tasks[[#This Row],[_LeafFcstFinish]],WORKDAY.INTL(Tasks[[#This Row],[_LeafFcstFinish]],Tasks[[#This Row],[_AlapShift]],WorkWeek,Holidays)))</f>
        <v/>
      </c>
      <c r="DJ94" s="101" t="str">
        <f aca="false">IF(Tasks[[#This Row],[Task Name]]="","",IF(Tasks[[#This Row],[_IsSummary]],MIN(INDEX(Tasks[_ShownCalcStart],Tasks[[#This Row],[_Row]]+1):INDEX(Tasks[_ShownCalcStart],Tasks[[#This Row],[_Row]]+Tasks[[#This Row],[_Descendants]])),Tasks[[#This Row],[_ShownCalcStart]]))</f>
        <v/>
      </c>
      <c r="DK94" s="101" t="str">
        <f aca="false">IF(Tasks[[#This Row],[Task Name]]="","",IF(Tasks[[#This Row],[_IsSummary]],MAX(INDEX(Tasks[_ShownCalcFinish],Tasks[[#This Row],[_Row]]+1):INDEX(Tasks[_ShownCalcFinish],Tasks[[#This Row],[_Row]]+Tasks[[#This Row],[_Descendants]])),Tasks[[#This Row],[_ShownCalcFinish]]))</f>
        <v/>
      </c>
      <c r="D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4" s="41" t="n">
        <f aca="false">IF(AND(Tasks[[#This Row],[_IsLeaf]]=1,Tasks[[#This Row],[_LeafTotalWork]]&gt;0),NETWORKDAYS.INTL(ProjectStart,Tasks[[#This Row],[_ShownFcstStart]],WorkWeek,Holidays),0)</f>
        <v>0</v>
      </c>
      <c r="DY94" s="41" t="n">
        <f aca="false">IF(AND(Tasks[[#This Row],[_IsLeaf]]=1,Tasks[[#This Row],[_LeafTotalWork]]&gt;0),MAX(Tasks[[#This Row],[_StartWorkday]],NETWORKDAYS.INTL(ProjectStart,Tasks[[#This Row],[_ShownFcstFinish]],WorkWeek,Holidays)),0)</f>
        <v>0</v>
      </c>
      <c r="DZ94" s="41" t="n">
        <f aca="false">IF(AND(Tasks[[#This Row],[_IsLeaf]]=1,Tasks[[#This Row],[_LeafTotalWork]]&gt;0),Tasks[[#This Row],[_LeafWork]]/(Tasks[[#This Row],[_FinishWorkday]]-Tasks[[#This Row],[_StartWorkday]]+1),0)</f>
        <v>0</v>
      </c>
      <c r="EA94" s="41" t="n">
        <f aca="false">Tasks[[#This Row],[_WorkPerWorkday]]*(Tasks[[#This Row],[_StartWorkday]]-1)</f>
        <v>-0</v>
      </c>
      <c r="EB94" s="41" t="n">
        <f aca="false">IF(Tasks[[#This Row],[_IsLeaf]]=1,MAX(N(Tasks[[#This Row],[Duration]]),0.1),0)</f>
        <v>0</v>
      </c>
      <c r="EC94" s="41" t="n">
        <f aca="false">Tasks[[#This Row],[_WeightDur]]*Tasks[[#This Row],[_LeafProgress]]</f>
        <v>0</v>
      </c>
      <c r="ED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4" s="41" t="str">
        <f aca="false">IF(AND(Tasks[[#This Row],[_IsLeaf]]=1,N(Tasks[[#This Row],[Duration]])=0,Tasks[[#This Row],[_LeafProgress]]&lt;1),Tasks[[#This Row],[_ShownFcstFinish]]+Tasks[[#This Row],[_Row]]/100000,"")</f>
        <v/>
      </c>
      <c r="EF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4" s="41" t="n">
        <f aca="false">IF(NOT(Tasks[[#This Row],[_IsLeaf]]=1),0,IF(Tasks[[#This Row],[Baseline Cost]]="",Tasks[[#This Row],[_LeafTotalCost]],N(Tasks[[#This Row],[Baseline Cost]])))</f>
        <v>0</v>
      </c>
      <c r="EH94" s="41" t="n">
        <f aca="false">Tasks[[#This Row],[_LeafBudget]]*Tasks[[#This Row],[_PlannedPct]]</f>
        <v>0</v>
      </c>
      <c r="EI94" s="41" t="n">
        <f aca="false">Tasks[[#This Row],[_LeafBudget]]*Tasks[[#This Row],[_LeafProgress]]</f>
        <v>0</v>
      </c>
      <c r="EJ94" s="41" t="n">
        <f aca="false">IF(NOT(Tasks[[#This Row],[_IsLeaf]]=1),0,IF(Tasks[[#This Row],[Actual Cost]]="",Tasks[[#This Row],[_LeafTotalCost]]*Tasks[[#This Row],[_LeafProgress]],N(Tasks[[#This Row],[Actual Cost]])))</f>
        <v>0</v>
      </c>
      <c r="EK94" s="41" t="str">
        <f aca="false">IF(Tasks[[#This Row],[Task Name]]="","",LEFT(Tasks[[#This Row],[WBS]],FIND(".",Tasks[[#This Row],[WBS]]&amp;".")-1))</f>
        <v/>
      </c>
      <c r="EL94" s="41" t="str">
        <f aca="false">IF(AND(Tasks[[#This Row],[Task Name]]&lt;&gt;"",Tasks[[#This Row],[_Level]]=1),Tasks[[#This Row],[_Row]],"")</f>
        <v/>
      </c>
      <c r="EM94" s="41" t="str">
        <f aca="false">IF(AND(Tasks[[#This Row],[_IsLeaf]]=1,N(Tasks[[#This Row],[Duration]])=0),Tasks[[#This Row],[Planned Finish]]+Tasks[[#This Row],[_Row]]/100000,"")</f>
        <v/>
      </c>
      <c r="EN94" s="41" t="str">
        <f aca="false">IF(AND(Tasks[[#This Row],[_IsLeaf]]=1,Tasks[[#This Row],[_LeafProgress]]&lt;1,OR(N(Tasks[[#This Row],[Finish Var]])&gt;0,Tasks[[#This Row],[Status]]="Late Start")),MAX(0,Tasks[[#This Row],[Finish Var]])+1-Tasks[[#This Row],[_Row]]/1000000,"")</f>
        <v/>
      </c>
      <c r="EO94" s="41" t="str">
        <f aca="false">IF(AND(Tasks[[#This Row],[_IsLeaf]]=1,N(Tasks[[#This Row],[Actual Start]])=0,Tasks[[#This Row],[_ShownFcstStart]]&gt;=StatusDate,Tasks[[#This Row],[_ShownFcstStart]]&lt;=LookaheadEnd),Tasks[[#This Row],[_ShownFcstStart]]+Tasks[[#This Row],[_Row]]/100000,"")</f>
        <v/>
      </c>
      <c r="EP94" s="41" t="str">
        <f aca="false">IF(AND(Tasks[[#This Row],[_IsLeaf]]=1,Tasks[[#This Row],[_LeafProgress]]&lt;1,Tasks[[#This Row],[_ShownFcstFinish]]&gt;=StatusDate,Tasks[[#This Row],[_ShownFcstFinish]]&lt;=LookaheadEnd),Tasks[[#This Row],[_ShownFcstFinish]]+Tasks[[#This Row],[_Row]]/100000,"")</f>
        <v/>
      </c>
      <c r="EQ94" s="41" t="str">
        <f aca="false">IF(Tasks[[#This Row],[_LeafCritical]],Tasks[[#This Row],[_ShownFcstStart]]+Tasks[[#This Row],[_Row]]/100000,"")</f>
        <v/>
      </c>
      <c r="ER94" s="41" t="n">
        <f aca="false">Tasks[[#This Row],[_LeafWork]]*Tasks[[#This Row],[_LeafProgress]]</f>
        <v>0</v>
      </c>
      <c r="ES94" s="101" t="str">
        <f aca="false">IF(AND(Tasks[[#This Row],[_IsLeaf]]=1,Tasks[[#This Row],[_LeafProgress]]&gt;=1),IF(N(Tasks[[#This Row],[Actual Finish]])&gt;0,Tasks[[#This Row],[Actual Finish]],Tasks[[#This Row],[_ShownFcstFinish]]),"")</f>
        <v/>
      </c>
      <c r="ET94" s="41" t="n">
        <f aca="false">IF(Tasks[[#This Row],[_IsLeaf]]=1,N(Tasks[[#This Row],[Story Points]]),0)</f>
        <v>0</v>
      </c>
      <c r="EU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29"/>
      <c r="O95" s="29"/>
      <c r="P95" s="29"/>
      <c r="Q95" s="29"/>
      <c r="R95" s="29"/>
      <c r="S95" s="29"/>
      <c r="T95" s="30"/>
      <c r="U95" s="75"/>
      <c r="V95" s="75"/>
      <c r="W95" s="25" t="str">
        <f aca="false">IF(Tasks[[#This Row],[Task Name]]="","",IF(N(Tasks[[#This Row],[Baseline Start]])&gt;0,Tasks[[#This Row],[Baseline Start]],Tasks[[#This Row],[_CalcStart]]))</f>
        <v/>
      </c>
      <c r="X95" s="25" t="str">
        <f aca="false">IF(Tasks[[#This Row],[Task Name]]="","",IF(N(Tasks[[#This Row],[Baseline Finish]])&gt;0,Tasks[[#This Row],[Baseline Finish]],Tasks[[#This Row],[_CalcFinish]]))</f>
        <v/>
      </c>
      <c r="Y95" s="75"/>
      <c r="Z95" s="75"/>
      <c r="AA95" s="25" t="str">
        <f aca="false">IF(Tasks[[#This Row],[Task Name]]="","",IF(Tasks[[#This Row],[_IsSummary]],MIN(INDEX(Tasks[_ShownFcstStart],Tasks[[#This Row],[_Row]]+1):INDEX(Tasks[_ShownFcstStart],Tasks[[#This Row],[_Row]]+Tasks[[#This Row],[_Descendants]])),Tasks[[#This Row],[_ShownFcstStart]]))</f>
        <v/>
      </c>
      <c r="AB95" s="25" t="str">
        <f aca="false">IF(Tasks[[#This Row],[Task Name]]="","",IF(Tasks[[#This Row],[_IsSummary]],MAX(INDEX(Tasks[_ShownFcstFinish],Tasks[[#This Row],[_Row]]+1):INDEX(Tasks[_ShownFcstFinish],Tasks[[#This Row],[_Row]]+Tasks[[#This Row],[_Descendants]])),Tasks[[#This Row],[_ShownFcstFinish]]))</f>
        <v/>
      </c>
      <c r="AC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5" s="25" t="str">
        <f aca="false">IF(Tasks[[#This Row],[Task Name]]="","",IF(Tasks[[#This Row],[_IsSummary]],MIN(INDEX(Tasks[_LeafLateStart],Tasks[[#This Row],[_Row]]+1):INDEX(Tasks[_LeafLateStart],Tasks[[#This Row],[_Row]]+Tasks[[#This Row],[_Descendants]])),Tasks[[#This Row],[_LeafLateStart]]))</f>
        <v/>
      </c>
      <c r="AF95" s="25" t="str">
        <f aca="false">IF(Tasks[[#This Row],[Task Name]]="","",IF(Tasks[[#This Row],[_IsSummary]],MAX(INDEX(Tasks[_LeafLateFinish],Tasks[[#This Row],[_Row]]+1):INDEX(Tasks[_LeafLateFinish],Tasks[[#This Row],[_Row]]+Tasks[[#This Row],[_Descendants]])),Tasks[[#This Row],[_LeafLateFinish]]))</f>
        <v/>
      </c>
      <c r="AG95" s="28" t="str">
        <f aca="false">IF(Tasks[[#This Row],[Task Name]]="","",IF(Tasks[[#This Row],[_IsSummary]],MIN(INDEX(Tasks[_LeafTotalSlack],Tasks[[#This Row],[_Row]]+1):INDEX(Tasks[_LeafTotalSlack],Tasks[[#This Row],[_Row]]+Tasks[[#This Row],[_Descendants]])),Tasks[[#This Row],[_LeafTotalSlack]]))</f>
        <v/>
      </c>
      <c r="AH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5" s="28" t="str">
        <f aca="false">IF(Tasks[[#This Row],[Task Name]]="","",IF(IF(Tasks[[#This Row],[_IsSummary]],COUNTIF(INDEX(Tasks[_LeafCritical],Tasks[[#This Row],[_Row]]+1):INDEX(Tasks[_LeafCritical],Tasks[[#This Row],[_Row]]+Tasks[[#This Row],[_Descendants]]),TRUE())&gt;0,Tasks[[#This Row],[_LeafCritical]]),"Yes",""))</f>
        <v/>
      </c>
      <c r="AJ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5" s="89"/>
      <c r="AM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5" s="28" t="str">
        <f aca="false">IF(Tasks[[#This Row],[Task Name]]="","",IF(Tasks[[#This Row],[Progress]]&gt;=1,"Complete",IF(OR(N(Tasks[[#This Row],[Actual Start]])&gt;0,Tasks[[#This Row],[Progress]]&gt;0),IF(Tasks[[#This Row],[Finish Var]]&gt;0,"Behind","In Progress"),IF(Tasks[[#This Row],[Planned Start]]&lt;StatusDate,"Late Start","Not Started"))))</f>
        <v/>
      </c>
      <c r="AO95" s="30"/>
      <c r="AP95" s="89"/>
      <c r="AQ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5" s="96" t="str">
        <f aca="false">IF(Tasks[[#This Row],[Task Name]]="","",IF(Tasks[[#This Row],[_IsSummary]],SUM(INDEX(Tasks[_LeafTotalWork],Tasks[[#This Row],[_Row]]+1):INDEX(Tasks[_LeafTotalWork],Tasks[[#This Row],[_Row]]+Tasks[[#This Row],[_Descendants]])),Tasks[[#This Row],[_LeafTotalWork]]))</f>
        <v/>
      </c>
      <c r="AT95" s="97" t="str">
        <f aca="false">IF(Tasks[[#This Row],[Task Name]]="","",IF(Tasks[[#This Row],[_IsSummary]],SUM(INDEX(Tasks[_LeafTotalCost],Tasks[[#This Row],[_Row]]+1):INDEX(Tasks[_LeafTotalCost],Tasks[[#This Row],[_Row]]+Tasks[[#This Row],[_Descendants]])),Tasks[[#This Row],[_LeafTotalCost]]))</f>
        <v/>
      </c>
      <c r="AU95" s="98"/>
      <c r="AV95" s="29"/>
      <c r="AW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5" s="83"/>
      <c r="AY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5" s="30"/>
      <c r="BA95" s="25" t="str">
        <f aca="false">IF(Tasks[[#This Row],[Task Name]]="","",Tasks[[#This Row],[Forecast Start]])</f>
        <v/>
      </c>
      <c r="BB95" s="25" t="str">
        <f aca="false">IF(Tasks[[#This Row],[Task Name]]="","",Tasks[[#This Row],[Forecast Finish]])</f>
        <v/>
      </c>
      <c r="BC95" s="28" t="str">
        <f aca="false">IF(Tasks[[#This Row],[Task Name]]="","",IF(Tasks[[#This Row],[_IsSummary]],NETWORKDAYS.INTL(Tasks[[#This Row],[Forecast Start]],Tasks[[#This Row],[Forecast Finish]],WorkWeek,Holidays),N(Tasks[[#This Row],[Duration]])))</f>
        <v/>
      </c>
      <c r="BD95" s="96" t="str">
        <f aca="false">IF(Tasks[[#This Row],[Task Name]]="","",Tasks[[#This Row],[Work]])</f>
        <v/>
      </c>
      <c r="BE95" s="97" t="str">
        <f aca="false">IF(Tasks[[#This Row],[Task Name]]="","",Tasks[[#This Row],[Cost]])</f>
        <v/>
      </c>
      <c r="BF95" s="75"/>
      <c r="BG95" s="75"/>
      <c r="BH95" s="29"/>
      <c r="BI95" s="99"/>
      <c r="BJ95" s="98"/>
      <c r="BK95" s="28" t="str">
        <f aca="false">IF(OR(Tasks[[#This Row],[Task Name]]="",Tasks[[#This Row],[Baseline Duration]]=""),"",Tasks[[#This Row],[BL Source Duration]]-N(Tasks[[#This Row],[Baseline Duration]]))</f>
        <v/>
      </c>
      <c r="BL95" s="96" t="str">
        <f aca="false">IF(OR(Tasks[[#This Row],[Task Name]]="",Tasks[[#This Row],[Baseline Work]]=""),"",Tasks[[#This Row],[Work]]-N(Tasks[[#This Row],[Baseline Work]]))</f>
        <v/>
      </c>
      <c r="BM95" s="97" t="str">
        <f aca="false">IF(OR(Tasks[[#This Row],[Task Name]]="",Tasks[[#This Row],[Baseline Cost]]=""),"",Tasks[[#This Row],[Cost]]-N(Tasks[[#This Row],[Baseline Cost]]))</f>
        <v/>
      </c>
      <c r="BN95" s="97" t="str">
        <f aca="false">IF(Tasks[[#This Row],[Task Name]]="","",IF(Tasks[[#This Row],[_IsSummary]],SUM(INDEX(Tasks[_LeafBudget],Tasks[[#This Row],[_Row]]+1):INDEX(Tasks[_LeafBudget],Tasks[[#This Row],[_Row]]+Tasks[[#This Row],[_Descendants]])),Tasks[[#This Row],[_LeafBudget]]))</f>
        <v/>
      </c>
      <c r="BO95" s="97" t="str">
        <f aca="false">IF(Tasks[[#This Row],[Task Name]]="","",IF(Tasks[[#This Row],[_IsSummary]],SUM(INDEX(Tasks[_LeafPV],Tasks[[#This Row],[_Row]]+1):INDEX(Tasks[_LeafPV],Tasks[[#This Row],[_Row]]+Tasks[[#This Row],[_Descendants]])),Tasks[[#This Row],[_LeafPV]]))</f>
        <v/>
      </c>
      <c r="BP95" s="97" t="str">
        <f aca="false">IF(Tasks[[#This Row],[Task Name]]="","",IF(Tasks[[#This Row],[_IsSummary]],SUM(INDEX(Tasks[_LeafEV],Tasks[[#This Row],[_Row]]+1):INDEX(Tasks[_LeafEV],Tasks[[#This Row],[_Row]]+Tasks[[#This Row],[_Descendants]])),Tasks[[#This Row],[_LeafEV]]))</f>
        <v/>
      </c>
      <c r="BQ95" s="97" t="str">
        <f aca="false">IF(Tasks[[#This Row],[Task Name]]="","",IF(Tasks[[#This Row],[_IsSummary]],SUM(INDEX(Tasks[_LeafAC],Tasks[[#This Row],[_Row]]+1):INDEX(Tasks[_LeafAC],Tasks[[#This Row],[_Row]]+Tasks[[#This Row],[_Descendants]])),Tasks[[#This Row],[_LeafAC]]))</f>
        <v/>
      </c>
      <c r="BR95" s="41" t="str">
        <f aca="false">IF(Tasks[[#This Row],[Task Name]]="","",MAX(1,N(Tasks[[#This Row],[Level]])))</f>
        <v/>
      </c>
      <c r="BS95" s="41" t="n">
        <f aca="false">ROW()-ROW(Tasks[[#Headers],[ID]])</f>
        <v>90</v>
      </c>
      <c r="BT95" s="41" t="n">
        <f aca="false">IF(OR(Tasks[[#This Row],[Task Name]]="",Tasks[[#This Row],[_Level]]&lt;=1),0,IFERROR(LOOKUP(2,1/(Tasks[[#Headers],[_Level]]:Tasks[[#This Row],[_Level]]=Tasks[[#This Row],[_Level]]-1),ROW(Tasks[[#Headers],[_Level]]:Tasks[[#This Row],[_Level]])),0))</f>
        <v>0</v>
      </c>
      <c r="BU95" s="41" t="n">
        <f aca="false">IFERROR(N(INDEX(Tasks[_Level],Tasks[[#This Row],[_Row]]+1)),0)</f>
        <v>0</v>
      </c>
      <c r="BV95" s="100" t="b">
        <f aca="false">AND(Tasks[[#This Row],[Task Name]]&lt;&gt;"",Tasks[[#This Row],[_NextLevel]]&gt;Tasks[[#This Row],[_Level]])</f>
        <v>0</v>
      </c>
      <c r="BW95" s="41" t="n">
        <f aca="false">IF(Tasks[[#This Row],[_IsSummary]],COUNTIF(Tasks[WBS],Tasks[[#This Row],[WBS]]&amp;".*"),0)</f>
        <v>0</v>
      </c>
      <c r="BX95" s="41" t="n">
        <f aca="false">IF(AND(Tasks[[#This Row],[Task Name]]&lt;&gt;"",NOT(Tasks[[#This Row],[_IsSummary]])),1,0)</f>
        <v>0</v>
      </c>
      <c r="BY95" s="41" t="n">
        <f aca="false">IF(N(Tasks[[#This Row],[Pred1 UID]])=0,0,IFERROR(MATCH(Tasks[[#This Row],[Pred1 UID]],Tasks[UID],0),-1))</f>
        <v>0</v>
      </c>
      <c r="BZ95" s="41" t="n">
        <f aca="false">IF(N(Tasks[[#This Row],[Pred2 UID]])=0,0,IFERROR(MATCH(Tasks[[#This Row],[Pred2 UID]],Tasks[UID],0),-1))</f>
        <v>0</v>
      </c>
      <c r="CA95" s="41" t="n">
        <f aca="false">IF(N(Tasks[[#This Row],[Pred3 UID]])=0,0,IFERROR(MATCH(Tasks[[#This Row],[Pred3 UID]],Tasks[UID],0),-1))</f>
        <v>0</v>
      </c>
      <c r="CB95" s="41" t="n">
        <f aca="false">IF(N(Tasks[[#This Row],[Pred4 UID]])=0,0,IFERROR(MATCH(Tasks[[#This Row],[Pred4 UID]],Tasks[UID],0),-1))</f>
        <v>0</v>
      </c>
      <c r="CC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5" s="101" t="n">
        <f aca="false">IF(OR(Tasks[[#This Row],[_ConstraintCode]]=2,Tasks[[#This Row],[_ConstraintCode]]=3,Tasks[[#This Row],[_ConstraintCode]]=4,Tasks[[#This Row],[_ConstraintCode]]=6),Tasks[[#This Row],[_ConstraintStart]],0)</f>
        <v>0</v>
      </c>
      <c r="CF95" s="101" t="n">
        <f aca="false">IF(OR(Tasks[[#This Row],[_ConstraintCode]]=2,Tasks[[#This Row],[_ConstraintCode]]=3,Tasks[[#This Row],[_ConstraintCode]]=5,Tasks[[#This Row],[_ConstraintCode]]=7),Tasks[[#This Row],[_ConstraintStart]],2958465)</f>
        <v>2958465</v>
      </c>
      <c r="CG9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5" s="101" t="str">
        <f aca="false">IF(NOT(Tasks[[#This Row],[_IsLeaf]]=1),"",IF(N(Tasks[[#This Row],[Duration]])&lt;=0,Tasks[[#This Row],[_LeafCalcStart]],WORKDAY.INTL(Tasks[[#This Row],[_LeafCalcStart]],Tasks[[#This Row],[Duration]]-1,WorkWeek,Holidays)))</f>
        <v/>
      </c>
      <c r="CI9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5" s="41" t="n">
        <f aca="false">IF(NOT(Tasks[[#This Row],[_IsLeaf]]=1),0,IF(N(Tasks[[#This Row],[Actual Finish]])&gt;0,1,MIN(1,N(Tasks[[#This Row],[% Complete]]))))</f>
        <v>0</v>
      </c>
      <c r="CL95" s="41" t="n">
        <f aca="false">IF(OR(NOT(Tasks[[#This Row],[_IsLeaf]]=1),Tasks[[#This Row],[Resource]]=""),0,N(Tasks[[#This Row],[Duration]])*HoursPerDay*IF(Tasks[[#This Row],[Units]]="",DefaultUnits,Tasks[[#This Row],[Units]]))</f>
        <v>0</v>
      </c>
      <c r="CM95" s="41" t="n">
        <f aca="false">IF(Tasks[[#This Row],[_LeafWork]]=0,0,Tasks[[#This Row],[_LeafWork]]*IFERROR(INDEX(res_Rate,MATCH(Tasks[[#This Row],[Resource]],res_Name,0)),0))</f>
        <v>0</v>
      </c>
      <c r="CN95" s="41" t="n">
        <f aca="false">Tasks[[#This Row],[_LeafWork]]+IF(Tasks[[#This Row],[_IsLeaf]]=1,SUMIFS(asg_Work,asg_TaskUID,Tasks[[#This Row],[UID]],asg_Valid,1),0)</f>
        <v>0</v>
      </c>
      <c r="CO95" s="41" t="n">
        <f aca="false">Tasks[[#This Row],[_LeafCost]]+IF(Tasks[[#This Row],[_IsLeaf]]=1,SUMIFS(asg_Cost,asg_TaskUID,Tasks[[#This Row],[UID]],asg_Valid,1),0)</f>
        <v>0</v>
      </c>
      <c r="CP95" s="41" t="n">
        <f aca="false">IF(Tasks[[#This Row],[_LeafTotalCost]]=0,Tasks[[#This Row],[_LeafAC]],Tasks[[#This Row],[_LeafAC]]*Tasks[[#This Row],[_LeafCost]]/Tasks[[#This Row],[_LeafTotalCost]])</f>
        <v>0</v>
      </c>
      <c r="CQ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5" s="41" t="n">
        <f aca="false">IF(NOT(Tasks[[#This Row],[_IsLeaf]]=1),0,MAX(_xlfn.MAXIFS(Tasks[_Row],Tasks[Pred1 UID],Tasks[[#This Row],[UID]]),_xlfn.MAXIFS(Tasks[_Row],Tasks[Pred2 UID],Tasks[[#This Row],[UID]]),_xlfn.MAXIFS(Tasks[_Row],Tasks[Pred3 UID],Tasks[[#This Row],[UID]]),_xlfn.MAXIFS(Tasks[_Row],Tasks[Pred4 UID],Tasks[[#This Row],[UID]])))</f>
        <v>0</v>
      </c>
      <c r="CZ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5" s="101" t="str">
        <f aca="false">IF(NOT(Tasks[[#This Row],[_IsLeaf]]=1),"",IF(N(Tasks[[#This Row],[Duration]])&lt;=0,Tasks[[#This Row],[_LeafLateFinish]],WORKDAY.INTL(Tasks[[#This Row],[_LeafLateFinish]],-(Tasks[[#This Row],[Duration]]-1),WorkWeek,Holidays)))</f>
        <v/>
      </c>
      <c r="DC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5" s="100" t="b">
        <f aca="false">AND(Tasks[[#This Row],[_IsLeaf]]=1,Tasks[[#This Row],[_LeafProgress]]&lt;1,N(Tasks[[#This Row],[_LeafTotalSlack]])&lt;=CriticalSlackDays)</f>
        <v>0</v>
      </c>
      <c r="DE95" s="41" t="n">
        <f aca="false">IF(AND(Tasks[[#This Row],[_IsLeaf]]=1,Tasks[[#This Row],[_ConstraintCode]]=1,Tasks[[#This Row],[Mode]]&lt;&gt;"Manual",N(Tasks[[#This Row],[Actual Start]])=0),MAX(0,N(Tasks[[#This Row],[Free Slack]])),0)</f>
        <v>0</v>
      </c>
      <c r="DF95" s="101" t="str">
        <f aca="false">IF(NOT(Tasks[[#This Row],[_IsLeaf]]=1),"",IF(Tasks[[#This Row],[_AlapShift]]=0,Tasks[[#This Row],[_LeafCalcStart]],WORKDAY.INTL(Tasks[[#This Row],[_LeafCalcStart]],Tasks[[#This Row],[_AlapShift]],WorkWeek,Holidays)))</f>
        <v/>
      </c>
      <c r="DG95" s="101" t="str">
        <f aca="false">IF(NOT(Tasks[[#This Row],[_IsLeaf]]=1),"",IF(Tasks[[#This Row],[_AlapShift]]=0,Tasks[[#This Row],[_LeafCalcFinish]],WORKDAY.INTL(Tasks[[#This Row],[_LeafCalcFinish]],Tasks[[#This Row],[_AlapShift]],WorkWeek,Holidays)))</f>
        <v/>
      </c>
      <c r="DH95" s="101" t="str">
        <f aca="false">IF(NOT(Tasks[[#This Row],[_IsLeaf]]=1),"",IF(Tasks[[#This Row],[_AlapShift]]=0,Tasks[[#This Row],[_LeafFcstStart]],WORKDAY.INTL(Tasks[[#This Row],[_LeafFcstStart]],Tasks[[#This Row],[_AlapShift]],WorkWeek,Holidays)))</f>
        <v/>
      </c>
      <c r="DI95" s="101" t="str">
        <f aca="false">IF(NOT(Tasks[[#This Row],[_IsLeaf]]=1),"",IF(Tasks[[#This Row],[_AlapShift]]=0,Tasks[[#This Row],[_LeafFcstFinish]],WORKDAY.INTL(Tasks[[#This Row],[_LeafFcstFinish]],Tasks[[#This Row],[_AlapShift]],WorkWeek,Holidays)))</f>
        <v/>
      </c>
      <c r="DJ95" s="101" t="str">
        <f aca="false">IF(Tasks[[#This Row],[Task Name]]="","",IF(Tasks[[#This Row],[_IsSummary]],MIN(INDEX(Tasks[_ShownCalcStart],Tasks[[#This Row],[_Row]]+1):INDEX(Tasks[_ShownCalcStart],Tasks[[#This Row],[_Row]]+Tasks[[#This Row],[_Descendants]])),Tasks[[#This Row],[_ShownCalcStart]]))</f>
        <v/>
      </c>
      <c r="DK95" s="101" t="str">
        <f aca="false">IF(Tasks[[#This Row],[Task Name]]="","",IF(Tasks[[#This Row],[_IsSummary]],MAX(INDEX(Tasks[_ShownCalcFinish],Tasks[[#This Row],[_Row]]+1):INDEX(Tasks[_ShownCalcFinish],Tasks[[#This Row],[_Row]]+Tasks[[#This Row],[_Descendants]])),Tasks[[#This Row],[_ShownCalcFinish]]))</f>
        <v/>
      </c>
      <c r="D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5" s="41" t="n">
        <f aca="false">IF(AND(Tasks[[#This Row],[_IsLeaf]]=1,Tasks[[#This Row],[_LeafTotalWork]]&gt;0),NETWORKDAYS.INTL(ProjectStart,Tasks[[#This Row],[_ShownFcstStart]],WorkWeek,Holidays),0)</f>
        <v>0</v>
      </c>
      <c r="DY95" s="41" t="n">
        <f aca="false">IF(AND(Tasks[[#This Row],[_IsLeaf]]=1,Tasks[[#This Row],[_LeafTotalWork]]&gt;0),MAX(Tasks[[#This Row],[_StartWorkday]],NETWORKDAYS.INTL(ProjectStart,Tasks[[#This Row],[_ShownFcstFinish]],WorkWeek,Holidays)),0)</f>
        <v>0</v>
      </c>
      <c r="DZ95" s="41" t="n">
        <f aca="false">IF(AND(Tasks[[#This Row],[_IsLeaf]]=1,Tasks[[#This Row],[_LeafTotalWork]]&gt;0),Tasks[[#This Row],[_LeafWork]]/(Tasks[[#This Row],[_FinishWorkday]]-Tasks[[#This Row],[_StartWorkday]]+1),0)</f>
        <v>0</v>
      </c>
      <c r="EA95" s="41" t="n">
        <f aca="false">Tasks[[#This Row],[_WorkPerWorkday]]*(Tasks[[#This Row],[_StartWorkday]]-1)</f>
        <v>-0</v>
      </c>
      <c r="EB95" s="41" t="n">
        <f aca="false">IF(Tasks[[#This Row],[_IsLeaf]]=1,MAX(N(Tasks[[#This Row],[Duration]]),0.1),0)</f>
        <v>0</v>
      </c>
      <c r="EC95" s="41" t="n">
        <f aca="false">Tasks[[#This Row],[_WeightDur]]*Tasks[[#This Row],[_LeafProgress]]</f>
        <v>0</v>
      </c>
      <c r="ED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5" s="41" t="str">
        <f aca="false">IF(AND(Tasks[[#This Row],[_IsLeaf]]=1,N(Tasks[[#This Row],[Duration]])=0,Tasks[[#This Row],[_LeafProgress]]&lt;1),Tasks[[#This Row],[_ShownFcstFinish]]+Tasks[[#This Row],[_Row]]/100000,"")</f>
        <v/>
      </c>
      <c r="EF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5" s="41" t="n">
        <f aca="false">IF(NOT(Tasks[[#This Row],[_IsLeaf]]=1),0,IF(Tasks[[#This Row],[Baseline Cost]]="",Tasks[[#This Row],[_LeafTotalCost]],N(Tasks[[#This Row],[Baseline Cost]])))</f>
        <v>0</v>
      </c>
      <c r="EH95" s="41" t="n">
        <f aca="false">Tasks[[#This Row],[_LeafBudget]]*Tasks[[#This Row],[_PlannedPct]]</f>
        <v>0</v>
      </c>
      <c r="EI95" s="41" t="n">
        <f aca="false">Tasks[[#This Row],[_LeafBudget]]*Tasks[[#This Row],[_LeafProgress]]</f>
        <v>0</v>
      </c>
      <c r="EJ95" s="41" t="n">
        <f aca="false">IF(NOT(Tasks[[#This Row],[_IsLeaf]]=1),0,IF(Tasks[[#This Row],[Actual Cost]]="",Tasks[[#This Row],[_LeafTotalCost]]*Tasks[[#This Row],[_LeafProgress]],N(Tasks[[#This Row],[Actual Cost]])))</f>
        <v>0</v>
      </c>
      <c r="EK95" s="41" t="str">
        <f aca="false">IF(Tasks[[#This Row],[Task Name]]="","",LEFT(Tasks[[#This Row],[WBS]],FIND(".",Tasks[[#This Row],[WBS]]&amp;".")-1))</f>
        <v/>
      </c>
      <c r="EL95" s="41" t="str">
        <f aca="false">IF(AND(Tasks[[#This Row],[Task Name]]&lt;&gt;"",Tasks[[#This Row],[_Level]]=1),Tasks[[#This Row],[_Row]],"")</f>
        <v/>
      </c>
      <c r="EM95" s="41" t="str">
        <f aca="false">IF(AND(Tasks[[#This Row],[_IsLeaf]]=1,N(Tasks[[#This Row],[Duration]])=0),Tasks[[#This Row],[Planned Finish]]+Tasks[[#This Row],[_Row]]/100000,"")</f>
        <v/>
      </c>
      <c r="EN95" s="41" t="str">
        <f aca="false">IF(AND(Tasks[[#This Row],[_IsLeaf]]=1,Tasks[[#This Row],[_LeafProgress]]&lt;1,OR(N(Tasks[[#This Row],[Finish Var]])&gt;0,Tasks[[#This Row],[Status]]="Late Start")),MAX(0,Tasks[[#This Row],[Finish Var]])+1-Tasks[[#This Row],[_Row]]/1000000,"")</f>
        <v/>
      </c>
      <c r="EO95" s="41" t="str">
        <f aca="false">IF(AND(Tasks[[#This Row],[_IsLeaf]]=1,N(Tasks[[#This Row],[Actual Start]])=0,Tasks[[#This Row],[_ShownFcstStart]]&gt;=StatusDate,Tasks[[#This Row],[_ShownFcstStart]]&lt;=LookaheadEnd),Tasks[[#This Row],[_ShownFcstStart]]+Tasks[[#This Row],[_Row]]/100000,"")</f>
        <v/>
      </c>
      <c r="EP95" s="41" t="str">
        <f aca="false">IF(AND(Tasks[[#This Row],[_IsLeaf]]=1,Tasks[[#This Row],[_LeafProgress]]&lt;1,Tasks[[#This Row],[_ShownFcstFinish]]&gt;=StatusDate,Tasks[[#This Row],[_ShownFcstFinish]]&lt;=LookaheadEnd),Tasks[[#This Row],[_ShownFcstFinish]]+Tasks[[#This Row],[_Row]]/100000,"")</f>
        <v/>
      </c>
      <c r="EQ95" s="41" t="str">
        <f aca="false">IF(Tasks[[#This Row],[_LeafCritical]],Tasks[[#This Row],[_ShownFcstStart]]+Tasks[[#This Row],[_Row]]/100000,"")</f>
        <v/>
      </c>
      <c r="ER95" s="41" t="n">
        <f aca="false">Tasks[[#This Row],[_LeafWork]]*Tasks[[#This Row],[_LeafProgress]]</f>
        <v>0</v>
      </c>
      <c r="ES95" s="101" t="str">
        <f aca="false">IF(AND(Tasks[[#This Row],[_IsLeaf]]=1,Tasks[[#This Row],[_LeafProgress]]&gt;=1),IF(N(Tasks[[#This Row],[Actual Finish]])&gt;0,Tasks[[#This Row],[Actual Finish]],Tasks[[#This Row],[_ShownFcstFinish]]),"")</f>
        <v/>
      </c>
      <c r="ET95" s="41" t="n">
        <f aca="false">IF(Tasks[[#This Row],[_IsLeaf]]=1,N(Tasks[[#This Row],[Story Points]]),0)</f>
        <v>0</v>
      </c>
      <c r="EU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29"/>
      <c r="O96" s="29"/>
      <c r="P96" s="29"/>
      <c r="Q96" s="29"/>
      <c r="R96" s="29"/>
      <c r="S96" s="29"/>
      <c r="T96" s="30"/>
      <c r="U96" s="75"/>
      <c r="V96" s="75"/>
      <c r="W96" s="25" t="str">
        <f aca="false">IF(Tasks[[#This Row],[Task Name]]="","",IF(N(Tasks[[#This Row],[Baseline Start]])&gt;0,Tasks[[#This Row],[Baseline Start]],Tasks[[#This Row],[_CalcStart]]))</f>
        <v/>
      </c>
      <c r="X96" s="25" t="str">
        <f aca="false">IF(Tasks[[#This Row],[Task Name]]="","",IF(N(Tasks[[#This Row],[Baseline Finish]])&gt;0,Tasks[[#This Row],[Baseline Finish]],Tasks[[#This Row],[_CalcFinish]]))</f>
        <v/>
      </c>
      <c r="Y96" s="75"/>
      <c r="Z96" s="75"/>
      <c r="AA96" s="25" t="str">
        <f aca="false">IF(Tasks[[#This Row],[Task Name]]="","",IF(Tasks[[#This Row],[_IsSummary]],MIN(INDEX(Tasks[_ShownFcstStart],Tasks[[#This Row],[_Row]]+1):INDEX(Tasks[_ShownFcstStart],Tasks[[#This Row],[_Row]]+Tasks[[#This Row],[_Descendants]])),Tasks[[#This Row],[_ShownFcstStart]]))</f>
        <v/>
      </c>
      <c r="AB96" s="25" t="str">
        <f aca="false">IF(Tasks[[#This Row],[Task Name]]="","",IF(Tasks[[#This Row],[_IsSummary]],MAX(INDEX(Tasks[_ShownFcstFinish],Tasks[[#This Row],[_Row]]+1):INDEX(Tasks[_ShownFcstFinish],Tasks[[#This Row],[_Row]]+Tasks[[#This Row],[_Descendants]])),Tasks[[#This Row],[_ShownFcstFinish]]))</f>
        <v/>
      </c>
      <c r="AC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6" s="25" t="str">
        <f aca="false">IF(Tasks[[#This Row],[Task Name]]="","",IF(Tasks[[#This Row],[_IsSummary]],MIN(INDEX(Tasks[_LeafLateStart],Tasks[[#This Row],[_Row]]+1):INDEX(Tasks[_LeafLateStart],Tasks[[#This Row],[_Row]]+Tasks[[#This Row],[_Descendants]])),Tasks[[#This Row],[_LeafLateStart]]))</f>
        <v/>
      </c>
      <c r="AF96" s="25" t="str">
        <f aca="false">IF(Tasks[[#This Row],[Task Name]]="","",IF(Tasks[[#This Row],[_IsSummary]],MAX(INDEX(Tasks[_LeafLateFinish],Tasks[[#This Row],[_Row]]+1):INDEX(Tasks[_LeafLateFinish],Tasks[[#This Row],[_Row]]+Tasks[[#This Row],[_Descendants]])),Tasks[[#This Row],[_LeafLateFinish]]))</f>
        <v/>
      </c>
      <c r="AG96" s="28" t="str">
        <f aca="false">IF(Tasks[[#This Row],[Task Name]]="","",IF(Tasks[[#This Row],[_IsSummary]],MIN(INDEX(Tasks[_LeafTotalSlack],Tasks[[#This Row],[_Row]]+1):INDEX(Tasks[_LeafTotalSlack],Tasks[[#This Row],[_Row]]+Tasks[[#This Row],[_Descendants]])),Tasks[[#This Row],[_LeafTotalSlack]]))</f>
        <v/>
      </c>
      <c r="AH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6" s="28" t="str">
        <f aca="false">IF(Tasks[[#This Row],[Task Name]]="","",IF(IF(Tasks[[#This Row],[_IsSummary]],COUNTIF(INDEX(Tasks[_LeafCritical],Tasks[[#This Row],[_Row]]+1):INDEX(Tasks[_LeafCritical],Tasks[[#This Row],[_Row]]+Tasks[[#This Row],[_Descendants]]),TRUE())&gt;0,Tasks[[#This Row],[_LeafCritical]]),"Yes",""))</f>
        <v/>
      </c>
      <c r="AJ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6" s="89"/>
      <c r="AM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6" s="28" t="str">
        <f aca="false">IF(Tasks[[#This Row],[Task Name]]="","",IF(Tasks[[#This Row],[Progress]]&gt;=1,"Complete",IF(OR(N(Tasks[[#This Row],[Actual Start]])&gt;0,Tasks[[#This Row],[Progress]]&gt;0),IF(Tasks[[#This Row],[Finish Var]]&gt;0,"Behind","In Progress"),IF(Tasks[[#This Row],[Planned Start]]&lt;StatusDate,"Late Start","Not Started"))))</f>
        <v/>
      </c>
      <c r="AO96" s="30"/>
      <c r="AP96" s="89"/>
      <c r="AQ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6" s="96" t="str">
        <f aca="false">IF(Tasks[[#This Row],[Task Name]]="","",IF(Tasks[[#This Row],[_IsSummary]],SUM(INDEX(Tasks[_LeafTotalWork],Tasks[[#This Row],[_Row]]+1):INDEX(Tasks[_LeafTotalWork],Tasks[[#This Row],[_Row]]+Tasks[[#This Row],[_Descendants]])),Tasks[[#This Row],[_LeafTotalWork]]))</f>
        <v/>
      </c>
      <c r="AT96" s="97" t="str">
        <f aca="false">IF(Tasks[[#This Row],[Task Name]]="","",IF(Tasks[[#This Row],[_IsSummary]],SUM(INDEX(Tasks[_LeafTotalCost],Tasks[[#This Row],[_Row]]+1):INDEX(Tasks[_LeafTotalCost],Tasks[[#This Row],[_Row]]+Tasks[[#This Row],[_Descendants]])),Tasks[[#This Row],[_LeafTotalCost]]))</f>
        <v/>
      </c>
      <c r="AU96" s="98"/>
      <c r="AV96" s="29"/>
      <c r="AW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6" s="83"/>
      <c r="AY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6" s="30"/>
      <c r="BA96" s="25" t="str">
        <f aca="false">IF(Tasks[[#This Row],[Task Name]]="","",Tasks[[#This Row],[Forecast Start]])</f>
        <v/>
      </c>
      <c r="BB96" s="25" t="str">
        <f aca="false">IF(Tasks[[#This Row],[Task Name]]="","",Tasks[[#This Row],[Forecast Finish]])</f>
        <v/>
      </c>
      <c r="BC96" s="28" t="str">
        <f aca="false">IF(Tasks[[#This Row],[Task Name]]="","",IF(Tasks[[#This Row],[_IsSummary]],NETWORKDAYS.INTL(Tasks[[#This Row],[Forecast Start]],Tasks[[#This Row],[Forecast Finish]],WorkWeek,Holidays),N(Tasks[[#This Row],[Duration]])))</f>
        <v/>
      </c>
      <c r="BD96" s="96" t="str">
        <f aca="false">IF(Tasks[[#This Row],[Task Name]]="","",Tasks[[#This Row],[Work]])</f>
        <v/>
      </c>
      <c r="BE96" s="97" t="str">
        <f aca="false">IF(Tasks[[#This Row],[Task Name]]="","",Tasks[[#This Row],[Cost]])</f>
        <v/>
      </c>
      <c r="BF96" s="75"/>
      <c r="BG96" s="75"/>
      <c r="BH96" s="29"/>
      <c r="BI96" s="99"/>
      <c r="BJ96" s="98"/>
      <c r="BK96" s="28" t="str">
        <f aca="false">IF(OR(Tasks[[#This Row],[Task Name]]="",Tasks[[#This Row],[Baseline Duration]]=""),"",Tasks[[#This Row],[BL Source Duration]]-N(Tasks[[#This Row],[Baseline Duration]]))</f>
        <v/>
      </c>
      <c r="BL96" s="96" t="str">
        <f aca="false">IF(OR(Tasks[[#This Row],[Task Name]]="",Tasks[[#This Row],[Baseline Work]]=""),"",Tasks[[#This Row],[Work]]-N(Tasks[[#This Row],[Baseline Work]]))</f>
        <v/>
      </c>
      <c r="BM96" s="97" t="str">
        <f aca="false">IF(OR(Tasks[[#This Row],[Task Name]]="",Tasks[[#This Row],[Baseline Cost]]=""),"",Tasks[[#This Row],[Cost]]-N(Tasks[[#This Row],[Baseline Cost]]))</f>
        <v/>
      </c>
      <c r="BN96" s="97" t="str">
        <f aca="false">IF(Tasks[[#This Row],[Task Name]]="","",IF(Tasks[[#This Row],[_IsSummary]],SUM(INDEX(Tasks[_LeafBudget],Tasks[[#This Row],[_Row]]+1):INDEX(Tasks[_LeafBudget],Tasks[[#This Row],[_Row]]+Tasks[[#This Row],[_Descendants]])),Tasks[[#This Row],[_LeafBudget]]))</f>
        <v/>
      </c>
      <c r="BO96" s="97" t="str">
        <f aca="false">IF(Tasks[[#This Row],[Task Name]]="","",IF(Tasks[[#This Row],[_IsSummary]],SUM(INDEX(Tasks[_LeafPV],Tasks[[#This Row],[_Row]]+1):INDEX(Tasks[_LeafPV],Tasks[[#This Row],[_Row]]+Tasks[[#This Row],[_Descendants]])),Tasks[[#This Row],[_LeafPV]]))</f>
        <v/>
      </c>
      <c r="BP96" s="97" t="str">
        <f aca="false">IF(Tasks[[#This Row],[Task Name]]="","",IF(Tasks[[#This Row],[_IsSummary]],SUM(INDEX(Tasks[_LeafEV],Tasks[[#This Row],[_Row]]+1):INDEX(Tasks[_LeafEV],Tasks[[#This Row],[_Row]]+Tasks[[#This Row],[_Descendants]])),Tasks[[#This Row],[_LeafEV]]))</f>
        <v/>
      </c>
      <c r="BQ96" s="97" t="str">
        <f aca="false">IF(Tasks[[#This Row],[Task Name]]="","",IF(Tasks[[#This Row],[_IsSummary]],SUM(INDEX(Tasks[_LeafAC],Tasks[[#This Row],[_Row]]+1):INDEX(Tasks[_LeafAC],Tasks[[#This Row],[_Row]]+Tasks[[#This Row],[_Descendants]])),Tasks[[#This Row],[_LeafAC]]))</f>
        <v/>
      </c>
      <c r="BR96" s="41" t="str">
        <f aca="false">IF(Tasks[[#This Row],[Task Name]]="","",MAX(1,N(Tasks[[#This Row],[Level]])))</f>
        <v/>
      </c>
      <c r="BS96" s="41" t="n">
        <f aca="false">ROW()-ROW(Tasks[[#Headers],[ID]])</f>
        <v>91</v>
      </c>
      <c r="BT96" s="41" t="n">
        <f aca="false">IF(OR(Tasks[[#This Row],[Task Name]]="",Tasks[[#This Row],[_Level]]&lt;=1),0,IFERROR(LOOKUP(2,1/(Tasks[[#Headers],[_Level]]:Tasks[[#This Row],[_Level]]=Tasks[[#This Row],[_Level]]-1),ROW(Tasks[[#Headers],[_Level]]:Tasks[[#This Row],[_Level]])),0))</f>
        <v>0</v>
      </c>
      <c r="BU96" s="41" t="n">
        <f aca="false">IFERROR(N(INDEX(Tasks[_Level],Tasks[[#This Row],[_Row]]+1)),0)</f>
        <v>0</v>
      </c>
      <c r="BV96" s="100" t="b">
        <f aca="false">AND(Tasks[[#This Row],[Task Name]]&lt;&gt;"",Tasks[[#This Row],[_NextLevel]]&gt;Tasks[[#This Row],[_Level]])</f>
        <v>0</v>
      </c>
      <c r="BW96" s="41" t="n">
        <f aca="false">IF(Tasks[[#This Row],[_IsSummary]],COUNTIF(Tasks[WBS],Tasks[[#This Row],[WBS]]&amp;".*"),0)</f>
        <v>0</v>
      </c>
      <c r="BX96" s="41" t="n">
        <f aca="false">IF(AND(Tasks[[#This Row],[Task Name]]&lt;&gt;"",NOT(Tasks[[#This Row],[_IsSummary]])),1,0)</f>
        <v>0</v>
      </c>
      <c r="BY96" s="41" t="n">
        <f aca="false">IF(N(Tasks[[#This Row],[Pred1 UID]])=0,0,IFERROR(MATCH(Tasks[[#This Row],[Pred1 UID]],Tasks[UID],0),-1))</f>
        <v>0</v>
      </c>
      <c r="BZ96" s="41" t="n">
        <f aca="false">IF(N(Tasks[[#This Row],[Pred2 UID]])=0,0,IFERROR(MATCH(Tasks[[#This Row],[Pred2 UID]],Tasks[UID],0),-1))</f>
        <v>0</v>
      </c>
      <c r="CA96" s="41" t="n">
        <f aca="false">IF(N(Tasks[[#This Row],[Pred3 UID]])=0,0,IFERROR(MATCH(Tasks[[#This Row],[Pred3 UID]],Tasks[UID],0),-1))</f>
        <v>0</v>
      </c>
      <c r="CB96" s="41" t="n">
        <f aca="false">IF(N(Tasks[[#This Row],[Pred4 UID]])=0,0,IFERROR(MATCH(Tasks[[#This Row],[Pred4 UID]],Tasks[UID],0),-1))</f>
        <v>0</v>
      </c>
      <c r="CC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6" s="101" t="n">
        <f aca="false">IF(OR(Tasks[[#This Row],[_ConstraintCode]]=2,Tasks[[#This Row],[_ConstraintCode]]=3,Tasks[[#This Row],[_ConstraintCode]]=4,Tasks[[#This Row],[_ConstraintCode]]=6),Tasks[[#This Row],[_ConstraintStart]],0)</f>
        <v>0</v>
      </c>
      <c r="CF96" s="101" t="n">
        <f aca="false">IF(OR(Tasks[[#This Row],[_ConstraintCode]]=2,Tasks[[#This Row],[_ConstraintCode]]=3,Tasks[[#This Row],[_ConstraintCode]]=5,Tasks[[#This Row],[_ConstraintCode]]=7),Tasks[[#This Row],[_ConstraintStart]],2958465)</f>
        <v>2958465</v>
      </c>
      <c r="CG9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6" s="101" t="str">
        <f aca="false">IF(NOT(Tasks[[#This Row],[_IsLeaf]]=1),"",IF(N(Tasks[[#This Row],[Duration]])&lt;=0,Tasks[[#This Row],[_LeafCalcStart]],WORKDAY.INTL(Tasks[[#This Row],[_LeafCalcStart]],Tasks[[#This Row],[Duration]]-1,WorkWeek,Holidays)))</f>
        <v/>
      </c>
      <c r="CI9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6" s="41" t="n">
        <f aca="false">IF(NOT(Tasks[[#This Row],[_IsLeaf]]=1),0,IF(N(Tasks[[#This Row],[Actual Finish]])&gt;0,1,MIN(1,N(Tasks[[#This Row],[% Complete]]))))</f>
        <v>0</v>
      </c>
      <c r="CL96" s="41" t="n">
        <f aca="false">IF(OR(NOT(Tasks[[#This Row],[_IsLeaf]]=1),Tasks[[#This Row],[Resource]]=""),0,N(Tasks[[#This Row],[Duration]])*HoursPerDay*IF(Tasks[[#This Row],[Units]]="",DefaultUnits,Tasks[[#This Row],[Units]]))</f>
        <v>0</v>
      </c>
      <c r="CM96" s="41" t="n">
        <f aca="false">IF(Tasks[[#This Row],[_LeafWork]]=0,0,Tasks[[#This Row],[_LeafWork]]*IFERROR(INDEX(res_Rate,MATCH(Tasks[[#This Row],[Resource]],res_Name,0)),0))</f>
        <v>0</v>
      </c>
      <c r="CN96" s="41" t="n">
        <f aca="false">Tasks[[#This Row],[_LeafWork]]+IF(Tasks[[#This Row],[_IsLeaf]]=1,SUMIFS(asg_Work,asg_TaskUID,Tasks[[#This Row],[UID]],asg_Valid,1),0)</f>
        <v>0</v>
      </c>
      <c r="CO96" s="41" t="n">
        <f aca="false">Tasks[[#This Row],[_LeafCost]]+IF(Tasks[[#This Row],[_IsLeaf]]=1,SUMIFS(asg_Cost,asg_TaskUID,Tasks[[#This Row],[UID]],asg_Valid,1),0)</f>
        <v>0</v>
      </c>
      <c r="CP96" s="41" t="n">
        <f aca="false">IF(Tasks[[#This Row],[_LeafTotalCost]]=0,Tasks[[#This Row],[_LeafAC]],Tasks[[#This Row],[_LeafAC]]*Tasks[[#This Row],[_LeafCost]]/Tasks[[#This Row],[_LeafTotalCost]])</f>
        <v>0</v>
      </c>
      <c r="CQ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6" s="41" t="n">
        <f aca="false">IF(NOT(Tasks[[#This Row],[_IsLeaf]]=1),0,MAX(_xlfn.MAXIFS(Tasks[_Row],Tasks[Pred1 UID],Tasks[[#This Row],[UID]]),_xlfn.MAXIFS(Tasks[_Row],Tasks[Pred2 UID],Tasks[[#This Row],[UID]]),_xlfn.MAXIFS(Tasks[_Row],Tasks[Pred3 UID],Tasks[[#This Row],[UID]]),_xlfn.MAXIFS(Tasks[_Row],Tasks[Pred4 UID],Tasks[[#This Row],[UID]])))</f>
        <v>0</v>
      </c>
      <c r="CZ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6" s="101" t="str">
        <f aca="false">IF(NOT(Tasks[[#This Row],[_IsLeaf]]=1),"",IF(N(Tasks[[#This Row],[Duration]])&lt;=0,Tasks[[#This Row],[_LeafLateFinish]],WORKDAY.INTL(Tasks[[#This Row],[_LeafLateFinish]],-(Tasks[[#This Row],[Duration]]-1),WorkWeek,Holidays)))</f>
        <v/>
      </c>
      <c r="DC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6" s="100" t="b">
        <f aca="false">AND(Tasks[[#This Row],[_IsLeaf]]=1,Tasks[[#This Row],[_LeafProgress]]&lt;1,N(Tasks[[#This Row],[_LeafTotalSlack]])&lt;=CriticalSlackDays)</f>
        <v>0</v>
      </c>
      <c r="DE96" s="41" t="n">
        <f aca="false">IF(AND(Tasks[[#This Row],[_IsLeaf]]=1,Tasks[[#This Row],[_ConstraintCode]]=1,Tasks[[#This Row],[Mode]]&lt;&gt;"Manual",N(Tasks[[#This Row],[Actual Start]])=0),MAX(0,N(Tasks[[#This Row],[Free Slack]])),0)</f>
        <v>0</v>
      </c>
      <c r="DF96" s="101" t="str">
        <f aca="false">IF(NOT(Tasks[[#This Row],[_IsLeaf]]=1),"",IF(Tasks[[#This Row],[_AlapShift]]=0,Tasks[[#This Row],[_LeafCalcStart]],WORKDAY.INTL(Tasks[[#This Row],[_LeafCalcStart]],Tasks[[#This Row],[_AlapShift]],WorkWeek,Holidays)))</f>
        <v/>
      </c>
      <c r="DG96" s="101" t="str">
        <f aca="false">IF(NOT(Tasks[[#This Row],[_IsLeaf]]=1),"",IF(Tasks[[#This Row],[_AlapShift]]=0,Tasks[[#This Row],[_LeafCalcFinish]],WORKDAY.INTL(Tasks[[#This Row],[_LeafCalcFinish]],Tasks[[#This Row],[_AlapShift]],WorkWeek,Holidays)))</f>
        <v/>
      </c>
      <c r="DH96" s="101" t="str">
        <f aca="false">IF(NOT(Tasks[[#This Row],[_IsLeaf]]=1),"",IF(Tasks[[#This Row],[_AlapShift]]=0,Tasks[[#This Row],[_LeafFcstStart]],WORKDAY.INTL(Tasks[[#This Row],[_LeafFcstStart]],Tasks[[#This Row],[_AlapShift]],WorkWeek,Holidays)))</f>
        <v/>
      </c>
      <c r="DI96" s="101" t="str">
        <f aca="false">IF(NOT(Tasks[[#This Row],[_IsLeaf]]=1),"",IF(Tasks[[#This Row],[_AlapShift]]=0,Tasks[[#This Row],[_LeafFcstFinish]],WORKDAY.INTL(Tasks[[#This Row],[_LeafFcstFinish]],Tasks[[#This Row],[_AlapShift]],WorkWeek,Holidays)))</f>
        <v/>
      </c>
      <c r="DJ96" s="101" t="str">
        <f aca="false">IF(Tasks[[#This Row],[Task Name]]="","",IF(Tasks[[#This Row],[_IsSummary]],MIN(INDEX(Tasks[_ShownCalcStart],Tasks[[#This Row],[_Row]]+1):INDEX(Tasks[_ShownCalcStart],Tasks[[#This Row],[_Row]]+Tasks[[#This Row],[_Descendants]])),Tasks[[#This Row],[_ShownCalcStart]]))</f>
        <v/>
      </c>
      <c r="DK96" s="101" t="str">
        <f aca="false">IF(Tasks[[#This Row],[Task Name]]="","",IF(Tasks[[#This Row],[_IsSummary]],MAX(INDEX(Tasks[_ShownCalcFinish],Tasks[[#This Row],[_Row]]+1):INDEX(Tasks[_ShownCalcFinish],Tasks[[#This Row],[_Row]]+Tasks[[#This Row],[_Descendants]])),Tasks[[#This Row],[_ShownCalcFinish]]))</f>
        <v/>
      </c>
      <c r="D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6" s="41" t="n">
        <f aca="false">IF(AND(Tasks[[#This Row],[_IsLeaf]]=1,Tasks[[#This Row],[_LeafTotalWork]]&gt;0),NETWORKDAYS.INTL(ProjectStart,Tasks[[#This Row],[_ShownFcstStart]],WorkWeek,Holidays),0)</f>
        <v>0</v>
      </c>
      <c r="DY96" s="41" t="n">
        <f aca="false">IF(AND(Tasks[[#This Row],[_IsLeaf]]=1,Tasks[[#This Row],[_LeafTotalWork]]&gt;0),MAX(Tasks[[#This Row],[_StartWorkday]],NETWORKDAYS.INTL(ProjectStart,Tasks[[#This Row],[_ShownFcstFinish]],WorkWeek,Holidays)),0)</f>
        <v>0</v>
      </c>
      <c r="DZ96" s="41" t="n">
        <f aca="false">IF(AND(Tasks[[#This Row],[_IsLeaf]]=1,Tasks[[#This Row],[_LeafTotalWork]]&gt;0),Tasks[[#This Row],[_LeafWork]]/(Tasks[[#This Row],[_FinishWorkday]]-Tasks[[#This Row],[_StartWorkday]]+1),0)</f>
        <v>0</v>
      </c>
      <c r="EA96" s="41" t="n">
        <f aca="false">Tasks[[#This Row],[_WorkPerWorkday]]*(Tasks[[#This Row],[_StartWorkday]]-1)</f>
        <v>-0</v>
      </c>
      <c r="EB96" s="41" t="n">
        <f aca="false">IF(Tasks[[#This Row],[_IsLeaf]]=1,MAX(N(Tasks[[#This Row],[Duration]]),0.1),0)</f>
        <v>0</v>
      </c>
      <c r="EC96" s="41" t="n">
        <f aca="false">Tasks[[#This Row],[_WeightDur]]*Tasks[[#This Row],[_LeafProgress]]</f>
        <v>0</v>
      </c>
      <c r="ED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6" s="41" t="str">
        <f aca="false">IF(AND(Tasks[[#This Row],[_IsLeaf]]=1,N(Tasks[[#This Row],[Duration]])=0,Tasks[[#This Row],[_LeafProgress]]&lt;1),Tasks[[#This Row],[_ShownFcstFinish]]+Tasks[[#This Row],[_Row]]/100000,"")</f>
        <v/>
      </c>
      <c r="EF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6" s="41" t="n">
        <f aca="false">IF(NOT(Tasks[[#This Row],[_IsLeaf]]=1),0,IF(Tasks[[#This Row],[Baseline Cost]]="",Tasks[[#This Row],[_LeafTotalCost]],N(Tasks[[#This Row],[Baseline Cost]])))</f>
        <v>0</v>
      </c>
      <c r="EH96" s="41" t="n">
        <f aca="false">Tasks[[#This Row],[_LeafBudget]]*Tasks[[#This Row],[_PlannedPct]]</f>
        <v>0</v>
      </c>
      <c r="EI96" s="41" t="n">
        <f aca="false">Tasks[[#This Row],[_LeafBudget]]*Tasks[[#This Row],[_LeafProgress]]</f>
        <v>0</v>
      </c>
      <c r="EJ96" s="41" t="n">
        <f aca="false">IF(NOT(Tasks[[#This Row],[_IsLeaf]]=1),0,IF(Tasks[[#This Row],[Actual Cost]]="",Tasks[[#This Row],[_LeafTotalCost]]*Tasks[[#This Row],[_LeafProgress]],N(Tasks[[#This Row],[Actual Cost]])))</f>
        <v>0</v>
      </c>
      <c r="EK96" s="41" t="str">
        <f aca="false">IF(Tasks[[#This Row],[Task Name]]="","",LEFT(Tasks[[#This Row],[WBS]],FIND(".",Tasks[[#This Row],[WBS]]&amp;".")-1))</f>
        <v/>
      </c>
      <c r="EL96" s="41" t="str">
        <f aca="false">IF(AND(Tasks[[#This Row],[Task Name]]&lt;&gt;"",Tasks[[#This Row],[_Level]]=1),Tasks[[#This Row],[_Row]],"")</f>
        <v/>
      </c>
      <c r="EM96" s="41" t="str">
        <f aca="false">IF(AND(Tasks[[#This Row],[_IsLeaf]]=1,N(Tasks[[#This Row],[Duration]])=0),Tasks[[#This Row],[Planned Finish]]+Tasks[[#This Row],[_Row]]/100000,"")</f>
        <v/>
      </c>
      <c r="EN96" s="41" t="str">
        <f aca="false">IF(AND(Tasks[[#This Row],[_IsLeaf]]=1,Tasks[[#This Row],[_LeafProgress]]&lt;1,OR(N(Tasks[[#This Row],[Finish Var]])&gt;0,Tasks[[#This Row],[Status]]="Late Start")),MAX(0,Tasks[[#This Row],[Finish Var]])+1-Tasks[[#This Row],[_Row]]/1000000,"")</f>
        <v/>
      </c>
      <c r="EO96" s="41" t="str">
        <f aca="false">IF(AND(Tasks[[#This Row],[_IsLeaf]]=1,N(Tasks[[#This Row],[Actual Start]])=0,Tasks[[#This Row],[_ShownFcstStart]]&gt;=StatusDate,Tasks[[#This Row],[_ShownFcstStart]]&lt;=LookaheadEnd),Tasks[[#This Row],[_ShownFcstStart]]+Tasks[[#This Row],[_Row]]/100000,"")</f>
        <v/>
      </c>
      <c r="EP96" s="41" t="str">
        <f aca="false">IF(AND(Tasks[[#This Row],[_IsLeaf]]=1,Tasks[[#This Row],[_LeafProgress]]&lt;1,Tasks[[#This Row],[_ShownFcstFinish]]&gt;=StatusDate,Tasks[[#This Row],[_ShownFcstFinish]]&lt;=LookaheadEnd),Tasks[[#This Row],[_ShownFcstFinish]]+Tasks[[#This Row],[_Row]]/100000,"")</f>
        <v/>
      </c>
      <c r="EQ96" s="41" t="str">
        <f aca="false">IF(Tasks[[#This Row],[_LeafCritical]],Tasks[[#This Row],[_ShownFcstStart]]+Tasks[[#This Row],[_Row]]/100000,"")</f>
        <v/>
      </c>
      <c r="ER96" s="41" t="n">
        <f aca="false">Tasks[[#This Row],[_LeafWork]]*Tasks[[#This Row],[_LeafProgress]]</f>
        <v>0</v>
      </c>
      <c r="ES96" s="101" t="str">
        <f aca="false">IF(AND(Tasks[[#This Row],[_IsLeaf]]=1,Tasks[[#This Row],[_LeafProgress]]&gt;=1),IF(N(Tasks[[#This Row],[Actual Finish]])&gt;0,Tasks[[#This Row],[Actual Finish]],Tasks[[#This Row],[_ShownFcstFinish]]),"")</f>
        <v/>
      </c>
      <c r="ET96" s="41" t="n">
        <f aca="false">IF(Tasks[[#This Row],[_IsLeaf]]=1,N(Tasks[[#This Row],[Story Points]]),0)</f>
        <v>0</v>
      </c>
      <c r="EU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29"/>
      <c r="O97" s="29"/>
      <c r="P97" s="29"/>
      <c r="Q97" s="29"/>
      <c r="R97" s="29"/>
      <c r="S97" s="29"/>
      <c r="T97" s="30"/>
      <c r="U97" s="75"/>
      <c r="V97" s="75"/>
      <c r="W97" s="25" t="str">
        <f aca="false">IF(Tasks[[#This Row],[Task Name]]="","",IF(N(Tasks[[#This Row],[Baseline Start]])&gt;0,Tasks[[#This Row],[Baseline Start]],Tasks[[#This Row],[_CalcStart]]))</f>
        <v/>
      </c>
      <c r="X97" s="25" t="str">
        <f aca="false">IF(Tasks[[#This Row],[Task Name]]="","",IF(N(Tasks[[#This Row],[Baseline Finish]])&gt;0,Tasks[[#This Row],[Baseline Finish]],Tasks[[#This Row],[_CalcFinish]]))</f>
        <v/>
      </c>
      <c r="Y97" s="75"/>
      <c r="Z97" s="75"/>
      <c r="AA97" s="25" t="str">
        <f aca="false">IF(Tasks[[#This Row],[Task Name]]="","",IF(Tasks[[#This Row],[_IsSummary]],MIN(INDEX(Tasks[_ShownFcstStart],Tasks[[#This Row],[_Row]]+1):INDEX(Tasks[_ShownFcstStart],Tasks[[#This Row],[_Row]]+Tasks[[#This Row],[_Descendants]])),Tasks[[#This Row],[_ShownFcstStart]]))</f>
        <v/>
      </c>
      <c r="AB97" s="25" t="str">
        <f aca="false">IF(Tasks[[#This Row],[Task Name]]="","",IF(Tasks[[#This Row],[_IsSummary]],MAX(INDEX(Tasks[_ShownFcstFinish],Tasks[[#This Row],[_Row]]+1):INDEX(Tasks[_ShownFcstFinish],Tasks[[#This Row],[_Row]]+Tasks[[#This Row],[_Descendants]])),Tasks[[#This Row],[_ShownFcstFinish]]))</f>
        <v/>
      </c>
      <c r="AC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7" s="25" t="str">
        <f aca="false">IF(Tasks[[#This Row],[Task Name]]="","",IF(Tasks[[#This Row],[_IsSummary]],MIN(INDEX(Tasks[_LeafLateStart],Tasks[[#This Row],[_Row]]+1):INDEX(Tasks[_LeafLateStart],Tasks[[#This Row],[_Row]]+Tasks[[#This Row],[_Descendants]])),Tasks[[#This Row],[_LeafLateStart]]))</f>
        <v/>
      </c>
      <c r="AF97" s="25" t="str">
        <f aca="false">IF(Tasks[[#This Row],[Task Name]]="","",IF(Tasks[[#This Row],[_IsSummary]],MAX(INDEX(Tasks[_LeafLateFinish],Tasks[[#This Row],[_Row]]+1):INDEX(Tasks[_LeafLateFinish],Tasks[[#This Row],[_Row]]+Tasks[[#This Row],[_Descendants]])),Tasks[[#This Row],[_LeafLateFinish]]))</f>
        <v/>
      </c>
      <c r="AG97" s="28" t="str">
        <f aca="false">IF(Tasks[[#This Row],[Task Name]]="","",IF(Tasks[[#This Row],[_IsSummary]],MIN(INDEX(Tasks[_LeafTotalSlack],Tasks[[#This Row],[_Row]]+1):INDEX(Tasks[_LeafTotalSlack],Tasks[[#This Row],[_Row]]+Tasks[[#This Row],[_Descendants]])),Tasks[[#This Row],[_LeafTotalSlack]]))</f>
        <v/>
      </c>
      <c r="AH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7" s="28" t="str">
        <f aca="false">IF(Tasks[[#This Row],[Task Name]]="","",IF(IF(Tasks[[#This Row],[_IsSummary]],COUNTIF(INDEX(Tasks[_LeafCritical],Tasks[[#This Row],[_Row]]+1):INDEX(Tasks[_LeafCritical],Tasks[[#This Row],[_Row]]+Tasks[[#This Row],[_Descendants]]),TRUE())&gt;0,Tasks[[#This Row],[_LeafCritical]]),"Yes",""))</f>
        <v/>
      </c>
      <c r="AJ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7" s="89"/>
      <c r="AM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7" s="28" t="str">
        <f aca="false">IF(Tasks[[#This Row],[Task Name]]="","",IF(Tasks[[#This Row],[Progress]]&gt;=1,"Complete",IF(OR(N(Tasks[[#This Row],[Actual Start]])&gt;0,Tasks[[#This Row],[Progress]]&gt;0),IF(Tasks[[#This Row],[Finish Var]]&gt;0,"Behind","In Progress"),IF(Tasks[[#This Row],[Planned Start]]&lt;StatusDate,"Late Start","Not Started"))))</f>
        <v/>
      </c>
      <c r="AO97" s="30"/>
      <c r="AP97" s="89"/>
      <c r="AQ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7" s="96" t="str">
        <f aca="false">IF(Tasks[[#This Row],[Task Name]]="","",IF(Tasks[[#This Row],[_IsSummary]],SUM(INDEX(Tasks[_LeafTotalWork],Tasks[[#This Row],[_Row]]+1):INDEX(Tasks[_LeafTotalWork],Tasks[[#This Row],[_Row]]+Tasks[[#This Row],[_Descendants]])),Tasks[[#This Row],[_LeafTotalWork]]))</f>
        <v/>
      </c>
      <c r="AT97" s="97" t="str">
        <f aca="false">IF(Tasks[[#This Row],[Task Name]]="","",IF(Tasks[[#This Row],[_IsSummary]],SUM(INDEX(Tasks[_LeafTotalCost],Tasks[[#This Row],[_Row]]+1):INDEX(Tasks[_LeafTotalCost],Tasks[[#This Row],[_Row]]+Tasks[[#This Row],[_Descendants]])),Tasks[[#This Row],[_LeafTotalCost]]))</f>
        <v/>
      </c>
      <c r="AU97" s="98"/>
      <c r="AV97" s="29"/>
      <c r="AW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7" s="83"/>
      <c r="AY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7" s="30"/>
      <c r="BA97" s="25" t="str">
        <f aca="false">IF(Tasks[[#This Row],[Task Name]]="","",Tasks[[#This Row],[Forecast Start]])</f>
        <v/>
      </c>
      <c r="BB97" s="25" t="str">
        <f aca="false">IF(Tasks[[#This Row],[Task Name]]="","",Tasks[[#This Row],[Forecast Finish]])</f>
        <v/>
      </c>
      <c r="BC97" s="28" t="str">
        <f aca="false">IF(Tasks[[#This Row],[Task Name]]="","",IF(Tasks[[#This Row],[_IsSummary]],NETWORKDAYS.INTL(Tasks[[#This Row],[Forecast Start]],Tasks[[#This Row],[Forecast Finish]],WorkWeek,Holidays),N(Tasks[[#This Row],[Duration]])))</f>
        <v/>
      </c>
      <c r="BD97" s="96" t="str">
        <f aca="false">IF(Tasks[[#This Row],[Task Name]]="","",Tasks[[#This Row],[Work]])</f>
        <v/>
      </c>
      <c r="BE97" s="97" t="str">
        <f aca="false">IF(Tasks[[#This Row],[Task Name]]="","",Tasks[[#This Row],[Cost]])</f>
        <v/>
      </c>
      <c r="BF97" s="75"/>
      <c r="BG97" s="75"/>
      <c r="BH97" s="29"/>
      <c r="BI97" s="99"/>
      <c r="BJ97" s="98"/>
      <c r="BK97" s="28" t="str">
        <f aca="false">IF(OR(Tasks[[#This Row],[Task Name]]="",Tasks[[#This Row],[Baseline Duration]]=""),"",Tasks[[#This Row],[BL Source Duration]]-N(Tasks[[#This Row],[Baseline Duration]]))</f>
        <v/>
      </c>
      <c r="BL97" s="96" t="str">
        <f aca="false">IF(OR(Tasks[[#This Row],[Task Name]]="",Tasks[[#This Row],[Baseline Work]]=""),"",Tasks[[#This Row],[Work]]-N(Tasks[[#This Row],[Baseline Work]]))</f>
        <v/>
      </c>
      <c r="BM97" s="97" t="str">
        <f aca="false">IF(OR(Tasks[[#This Row],[Task Name]]="",Tasks[[#This Row],[Baseline Cost]]=""),"",Tasks[[#This Row],[Cost]]-N(Tasks[[#This Row],[Baseline Cost]]))</f>
        <v/>
      </c>
      <c r="BN97" s="97" t="str">
        <f aca="false">IF(Tasks[[#This Row],[Task Name]]="","",IF(Tasks[[#This Row],[_IsSummary]],SUM(INDEX(Tasks[_LeafBudget],Tasks[[#This Row],[_Row]]+1):INDEX(Tasks[_LeafBudget],Tasks[[#This Row],[_Row]]+Tasks[[#This Row],[_Descendants]])),Tasks[[#This Row],[_LeafBudget]]))</f>
        <v/>
      </c>
      <c r="BO97" s="97" t="str">
        <f aca="false">IF(Tasks[[#This Row],[Task Name]]="","",IF(Tasks[[#This Row],[_IsSummary]],SUM(INDEX(Tasks[_LeafPV],Tasks[[#This Row],[_Row]]+1):INDEX(Tasks[_LeafPV],Tasks[[#This Row],[_Row]]+Tasks[[#This Row],[_Descendants]])),Tasks[[#This Row],[_LeafPV]]))</f>
        <v/>
      </c>
      <c r="BP97" s="97" t="str">
        <f aca="false">IF(Tasks[[#This Row],[Task Name]]="","",IF(Tasks[[#This Row],[_IsSummary]],SUM(INDEX(Tasks[_LeafEV],Tasks[[#This Row],[_Row]]+1):INDEX(Tasks[_LeafEV],Tasks[[#This Row],[_Row]]+Tasks[[#This Row],[_Descendants]])),Tasks[[#This Row],[_LeafEV]]))</f>
        <v/>
      </c>
      <c r="BQ97" s="97" t="str">
        <f aca="false">IF(Tasks[[#This Row],[Task Name]]="","",IF(Tasks[[#This Row],[_IsSummary]],SUM(INDEX(Tasks[_LeafAC],Tasks[[#This Row],[_Row]]+1):INDEX(Tasks[_LeafAC],Tasks[[#This Row],[_Row]]+Tasks[[#This Row],[_Descendants]])),Tasks[[#This Row],[_LeafAC]]))</f>
        <v/>
      </c>
      <c r="BR97" s="41" t="str">
        <f aca="false">IF(Tasks[[#This Row],[Task Name]]="","",MAX(1,N(Tasks[[#This Row],[Level]])))</f>
        <v/>
      </c>
      <c r="BS97" s="41" t="n">
        <f aca="false">ROW()-ROW(Tasks[[#Headers],[ID]])</f>
        <v>92</v>
      </c>
      <c r="BT97" s="41" t="n">
        <f aca="false">IF(OR(Tasks[[#This Row],[Task Name]]="",Tasks[[#This Row],[_Level]]&lt;=1),0,IFERROR(LOOKUP(2,1/(Tasks[[#Headers],[_Level]]:Tasks[[#This Row],[_Level]]=Tasks[[#This Row],[_Level]]-1),ROW(Tasks[[#Headers],[_Level]]:Tasks[[#This Row],[_Level]])),0))</f>
        <v>0</v>
      </c>
      <c r="BU97" s="41" t="n">
        <f aca="false">IFERROR(N(INDEX(Tasks[_Level],Tasks[[#This Row],[_Row]]+1)),0)</f>
        <v>0</v>
      </c>
      <c r="BV97" s="100" t="b">
        <f aca="false">AND(Tasks[[#This Row],[Task Name]]&lt;&gt;"",Tasks[[#This Row],[_NextLevel]]&gt;Tasks[[#This Row],[_Level]])</f>
        <v>0</v>
      </c>
      <c r="BW97" s="41" t="n">
        <f aca="false">IF(Tasks[[#This Row],[_IsSummary]],COUNTIF(Tasks[WBS],Tasks[[#This Row],[WBS]]&amp;".*"),0)</f>
        <v>0</v>
      </c>
      <c r="BX97" s="41" t="n">
        <f aca="false">IF(AND(Tasks[[#This Row],[Task Name]]&lt;&gt;"",NOT(Tasks[[#This Row],[_IsSummary]])),1,0)</f>
        <v>0</v>
      </c>
      <c r="BY97" s="41" t="n">
        <f aca="false">IF(N(Tasks[[#This Row],[Pred1 UID]])=0,0,IFERROR(MATCH(Tasks[[#This Row],[Pred1 UID]],Tasks[UID],0),-1))</f>
        <v>0</v>
      </c>
      <c r="BZ97" s="41" t="n">
        <f aca="false">IF(N(Tasks[[#This Row],[Pred2 UID]])=0,0,IFERROR(MATCH(Tasks[[#This Row],[Pred2 UID]],Tasks[UID],0),-1))</f>
        <v>0</v>
      </c>
      <c r="CA97" s="41" t="n">
        <f aca="false">IF(N(Tasks[[#This Row],[Pred3 UID]])=0,0,IFERROR(MATCH(Tasks[[#This Row],[Pred3 UID]],Tasks[UID],0),-1))</f>
        <v>0</v>
      </c>
      <c r="CB97" s="41" t="n">
        <f aca="false">IF(N(Tasks[[#This Row],[Pred4 UID]])=0,0,IFERROR(MATCH(Tasks[[#This Row],[Pred4 UID]],Tasks[UID],0),-1))</f>
        <v>0</v>
      </c>
      <c r="CC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7" s="101" t="n">
        <f aca="false">IF(OR(Tasks[[#This Row],[_ConstraintCode]]=2,Tasks[[#This Row],[_ConstraintCode]]=3,Tasks[[#This Row],[_ConstraintCode]]=4,Tasks[[#This Row],[_ConstraintCode]]=6),Tasks[[#This Row],[_ConstraintStart]],0)</f>
        <v>0</v>
      </c>
      <c r="CF97" s="101" t="n">
        <f aca="false">IF(OR(Tasks[[#This Row],[_ConstraintCode]]=2,Tasks[[#This Row],[_ConstraintCode]]=3,Tasks[[#This Row],[_ConstraintCode]]=5,Tasks[[#This Row],[_ConstraintCode]]=7),Tasks[[#This Row],[_ConstraintStart]],2958465)</f>
        <v>2958465</v>
      </c>
      <c r="CG9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7" s="101" t="str">
        <f aca="false">IF(NOT(Tasks[[#This Row],[_IsLeaf]]=1),"",IF(N(Tasks[[#This Row],[Duration]])&lt;=0,Tasks[[#This Row],[_LeafCalcStart]],WORKDAY.INTL(Tasks[[#This Row],[_LeafCalcStart]],Tasks[[#This Row],[Duration]]-1,WorkWeek,Holidays)))</f>
        <v/>
      </c>
      <c r="CI9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7" s="41" t="n">
        <f aca="false">IF(NOT(Tasks[[#This Row],[_IsLeaf]]=1),0,IF(N(Tasks[[#This Row],[Actual Finish]])&gt;0,1,MIN(1,N(Tasks[[#This Row],[% Complete]]))))</f>
        <v>0</v>
      </c>
      <c r="CL97" s="41" t="n">
        <f aca="false">IF(OR(NOT(Tasks[[#This Row],[_IsLeaf]]=1),Tasks[[#This Row],[Resource]]=""),0,N(Tasks[[#This Row],[Duration]])*HoursPerDay*IF(Tasks[[#This Row],[Units]]="",DefaultUnits,Tasks[[#This Row],[Units]]))</f>
        <v>0</v>
      </c>
      <c r="CM97" s="41" t="n">
        <f aca="false">IF(Tasks[[#This Row],[_LeafWork]]=0,0,Tasks[[#This Row],[_LeafWork]]*IFERROR(INDEX(res_Rate,MATCH(Tasks[[#This Row],[Resource]],res_Name,0)),0))</f>
        <v>0</v>
      </c>
      <c r="CN97" s="41" t="n">
        <f aca="false">Tasks[[#This Row],[_LeafWork]]+IF(Tasks[[#This Row],[_IsLeaf]]=1,SUMIFS(asg_Work,asg_TaskUID,Tasks[[#This Row],[UID]],asg_Valid,1),0)</f>
        <v>0</v>
      </c>
      <c r="CO97" s="41" t="n">
        <f aca="false">Tasks[[#This Row],[_LeafCost]]+IF(Tasks[[#This Row],[_IsLeaf]]=1,SUMIFS(asg_Cost,asg_TaskUID,Tasks[[#This Row],[UID]],asg_Valid,1),0)</f>
        <v>0</v>
      </c>
      <c r="CP97" s="41" t="n">
        <f aca="false">IF(Tasks[[#This Row],[_LeafTotalCost]]=0,Tasks[[#This Row],[_LeafAC]],Tasks[[#This Row],[_LeafAC]]*Tasks[[#This Row],[_LeafCost]]/Tasks[[#This Row],[_LeafTotalCost]])</f>
        <v>0</v>
      </c>
      <c r="CQ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7" s="41" t="n">
        <f aca="false">IF(NOT(Tasks[[#This Row],[_IsLeaf]]=1),0,MAX(_xlfn.MAXIFS(Tasks[_Row],Tasks[Pred1 UID],Tasks[[#This Row],[UID]]),_xlfn.MAXIFS(Tasks[_Row],Tasks[Pred2 UID],Tasks[[#This Row],[UID]]),_xlfn.MAXIFS(Tasks[_Row],Tasks[Pred3 UID],Tasks[[#This Row],[UID]]),_xlfn.MAXIFS(Tasks[_Row],Tasks[Pred4 UID],Tasks[[#This Row],[UID]])))</f>
        <v>0</v>
      </c>
      <c r="CZ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7" s="101" t="str">
        <f aca="false">IF(NOT(Tasks[[#This Row],[_IsLeaf]]=1),"",IF(N(Tasks[[#This Row],[Duration]])&lt;=0,Tasks[[#This Row],[_LeafLateFinish]],WORKDAY.INTL(Tasks[[#This Row],[_LeafLateFinish]],-(Tasks[[#This Row],[Duration]]-1),WorkWeek,Holidays)))</f>
        <v/>
      </c>
      <c r="DC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7" s="100" t="b">
        <f aca="false">AND(Tasks[[#This Row],[_IsLeaf]]=1,Tasks[[#This Row],[_LeafProgress]]&lt;1,N(Tasks[[#This Row],[_LeafTotalSlack]])&lt;=CriticalSlackDays)</f>
        <v>0</v>
      </c>
      <c r="DE97" s="41" t="n">
        <f aca="false">IF(AND(Tasks[[#This Row],[_IsLeaf]]=1,Tasks[[#This Row],[_ConstraintCode]]=1,Tasks[[#This Row],[Mode]]&lt;&gt;"Manual",N(Tasks[[#This Row],[Actual Start]])=0),MAX(0,N(Tasks[[#This Row],[Free Slack]])),0)</f>
        <v>0</v>
      </c>
      <c r="DF97" s="101" t="str">
        <f aca="false">IF(NOT(Tasks[[#This Row],[_IsLeaf]]=1),"",IF(Tasks[[#This Row],[_AlapShift]]=0,Tasks[[#This Row],[_LeafCalcStart]],WORKDAY.INTL(Tasks[[#This Row],[_LeafCalcStart]],Tasks[[#This Row],[_AlapShift]],WorkWeek,Holidays)))</f>
        <v/>
      </c>
      <c r="DG97" s="101" t="str">
        <f aca="false">IF(NOT(Tasks[[#This Row],[_IsLeaf]]=1),"",IF(Tasks[[#This Row],[_AlapShift]]=0,Tasks[[#This Row],[_LeafCalcFinish]],WORKDAY.INTL(Tasks[[#This Row],[_LeafCalcFinish]],Tasks[[#This Row],[_AlapShift]],WorkWeek,Holidays)))</f>
        <v/>
      </c>
      <c r="DH97" s="101" t="str">
        <f aca="false">IF(NOT(Tasks[[#This Row],[_IsLeaf]]=1),"",IF(Tasks[[#This Row],[_AlapShift]]=0,Tasks[[#This Row],[_LeafFcstStart]],WORKDAY.INTL(Tasks[[#This Row],[_LeafFcstStart]],Tasks[[#This Row],[_AlapShift]],WorkWeek,Holidays)))</f>
        <v/>
      </c>
      <c r="DI97" s="101" t="str">
        <f aca="false">IF(NOT(Tasks[[#This Row],[_IsLeaf]]=1),"",IF(Tasks[[#This Row],[_AlapShift]]=0,Tasks[[#This Row],[_LeafFcstFinish]],WORKDAY.INTL(Tasks[[#This Row],[_LeafFcstFinish]],Tasks[[#This Row],[_AlapShift]],WorkWeek,Holidays)))</f>
        <v/>
      </c>
      <c r="DJ97" s="101" t="str">
        <f aca="false">IF(Tasks[[#This Row],[Task Name]]="","",IF(Tasks[[#This Row],[_IsSummary]],MIN(INDEX(Tasks[_ShownCalcStart],Tasks[[#This Row],[_Row]]+1):INDEX(Tasks[_ShownCalcStart],Tasks[[#This Row],[_Row]]+Tasks[[#This Row],[_Descendants]])),Tasks[[#This Row],[_ShownCalcStart]]))</f>
        <v/>
      </c>
      <c r="DK97" s="101" t="str">
        <f aca="false">IF(Tasks[[#This Row],[Task Name]]="","",IF(Tasks[[#This Row],[_IsSummary]],MAX(INDEX(Tasks[_ShownCalcFinish],Tasks[[#This Row],[_Row]]+1):INDEX(Tasks[_ShownCalcFinish],Tasks[[#This Row],[_Row]]+Tasks[[#This Row],[_Descendants]])),Tasks[[#This Row],[_ShownCalcFinish]]))</f>
        <v/>
      </c>
      <c r="D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7" s="41" t="n">
        <f aca="false">IF(AND(Tasks[[#This Row],[_IsLeaf]]=1,Tasks[[#This Row],[_LeafTotalWork]]&gt;0),NETWORKDAYS.INTL(ProjectStart,Tasks[[#This Row],[_ShownFcstStart]],WorkWeek,Holidays),0)</f>
        <v>0</v>
      </c>
      <c r="DY97" s="41" t="n">
        <f aca="false">IF(AND(Tasks[[#This Row],[_IsLeaf]]=1,Tasks[[#This Row],[_LeafTotalWork]]&gt;0),MAX(Tasks[[#This Row],[_StartWorkday]],NETWORKDAYS.INTL(ProjectStart,Tasks[[#This Row],[_ShownFcstFinish]],WorkWeek,Holidays)),0)</f>
        <v>0</v>
      </c>
      <c r="DZ97" s="41" t="n">
        <f aca="false">IF(AND(Tasks[[#This Row],[_IsLeaf]]=1,Tasks[[#This Row],[_LeafTotalWork]]&gt;0),Tasks[[#This Row],[_LeafWork]]/(Tasks[[#This Row],[_FinishWorkday]]-Tasks[[#This Row],[_StartWorkday]]+1),0)</f>
        <v>0</v>
      </c>
      <c r="EA97" s="41" t="n">
        <f aca="false">Tasks[[#This Row],[_WorkPerWorkday]]*(Tasks[[#This Row],[_StartWorkday]]-1)</f>
        <v>-0</v>
      </c>
      <c r="EB97" s="41" t="n">
        <f aca="false">IF(Tasks[[#This Row],[_IsLeaf]]=1,MAX(N(Tasks[[#This Row],[Duration]]),0.1),0)</f>
        <v>0</v>
      </c>
      <c r="EC97" s="41" t="n">
        <f aca="false">Tasks[[#This Row],[_WeightDur]]*Tasks[[#This Row],[_LeafProgress]]</f>
        <v>0</v>
      </c>
      <c r="ED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7" s="41" t="str">
        <f aca="false">IF(AND(Tasks[[#This Row],[_IsLeaf]]=1,N(Tasks[[#This Row],[Duration]])=0,Tasks[[#This Row],[_LeafProgress]]&lt;1),Tasks[[#This Row],[_ShownFcstFinish]]+Tasks[[#This Row],[_Row]]/100000,"")</f>
        <v/>
      </c>
      <c r="EF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7" s="41" t="n">
        <f aca="false">IF(NOT(Tasks[[#This Row],[_IsLeaf]]=1),0,IF(Tasks[[#This Row],[Baseline Cost]]="",Tasks[[#This Row],[_LeafTotalCost]],N(Tasks[[#This Row],[Baseline Cost]])))</f>
        <v>0</v>
      </c>
      <c r="EH97" s="41" t="n">
        <f aca="false">Tasks[[#This Row],[_LeafBudget]]*Tasks[[#This Row],[_PlannedPct]]</f>
        <v>0</v>
      </c>
      <c r="EI97" s="41" t="n">
        <f aca="false">Tasks[[#This Row],[_LeafBudget]]*Tasks[[#This Row],[_LeafProgress]]</f>
        <v>0</v>
      </c>
      <c r="EJ97" s="41" t="n">
        <f aca="false">IF(NOT(Tasks[[#This Row],[_IsLeaf]]=1),0,IF(Tasks[[#This Row],[Actual Cost]]="",Tasks[[#This Row],[_LeafTotalCost]]*Tasks[[#This Row],[_LeafProgress]],N(Tasks[[#This Row],[Actual Cost]])))</f>
        <v>0</v>
      </c>
      <c r="EK97" s="41" t="str">
        <f aca="false">IF(Tasks[[#This Row],[Task Name]]="","",LEFT(Tasks[[#This Row],[WBS]],FIND(".",Tasks[[#This Row],[WBS]]&amp;".")-1))</f>
        <v/>
      </c>
      <c r="EL97" s="41" t="str">
        <f aca="false">IF(AND(Tasks[[#This Row],[Task Name]]&lt;&gt;"",Tasks[[#This Row],[_Level]]=1),Tasks[[#This Row],[_Row]],"")</f>
        <v/>
      </c>
      <c r="EM97" s="41" t="str">
        <f aca="false">IF(AND(Tasks[[#This Row],[_IsLeaf]]=1,N(Tasks[[#This Row],[Duration]])=0),Tasks[[#This Row],[Planned Finish]]+Tasks[[#This Row],[_Row]]/100000,"")</f>
        <v/>
      </c>
      <c r="EN97" s="41" t="str">
        <f aca="false">IF(AND(Tasks[[#This Row],[_IsLeaf]]=1,Tasks[[#This Row],[_LeafProgress]]&lt;1,OR(N(Tasks[[#This Row],[Finish Var]])&gt;0,Tasks[[#This Row],[Status]]="Late Start")),MAX(0,Tasks[[#This Row],[Finish Var]])+1-Tasks[[#This Row],[_Row]]/1000000,"")</f>
        <v/>
      </c>
      <c r="EO97" s="41" t="str">
        <f aca="false">IF(AND(Tasks[[#This Row],[_IsLeaf]]=1,N(Tasks[[#This Row],[Actual Start]])=0,Tasks[[#This Row],[_ShownFcstStart]]&gt;=StatusDate,Tasks[[#This Row],[_ShownFcstStart]]&lt;=LookaheadEnd),Tasks[[#This Row],[_ShownFcstStart]]+Tasks[[#This Row],[_Row]]/100000,"")</f>
        <v/>
      </c>
      <c r="EP97" s="41" t="str">
        <f aca="false">IF(AND(Tasks[[#This Row],[_IsLeaf]]=1,Tasks[[#This Row],[_LeafProgress]]&lt;1,Tasks[[#This Row],[_ShownFcstFinish]]&gt;=StatusDate,Tasks[[#This Row],[_ShownFcstFinish]]&lt;=LookaheadEnd),Tasks[[#This Row],[_ShownFcstFinish]]+Tasks[[#This Row],[_Row]]/100000,"")</f>
        <v/>
      </c>
      <c r="EQ97" s="41" t="str">
        <f aca="false">IF(Tasks[[#This Row],[_LeafCritical]],Tasks[[#This Row],[_ShownFcstStart]]+Tasks[[#This Row],[_Row]]/100000,"")</f>
        <v/>
      </c>
      <c r="ER97" s="41" t="n">
        <f aca="false">Tasks[[#This Row],[_LeafWork]]*Tasks[[#This Row],[_LeafProgress]]</f>
        <v>0</v>
      </c>
      <c r="ES97" s="101" t="str">
        <f aca="false">IF(AND(Tasks[[#This Row],[_IsLeaf]]=1,Tasks[[#This Row],[_LeafProgress]]&gt;=1),IF(N(Tasks[[#This Row],[Actual Finish]])&gt;0,Tasks[[#This Row],[Actual Finish]],Tasks[[#This Row],[_ShownFcstFinish]]),"")</f>
        <v/>
      </c>
      <c r="ET97" s="41" t="n">
        <f aca="false">IF(Tasks[[#This Row],[_IsLeaf]]=1,N(Tasks[[#This Row],[Story Points]]),0)</f>
        <v>0</v>
      </c>
      <c r="EU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29"/>
      <c r="O98" s="29"/>
      <c r="P98" s="29"/>
      <c r="Q98" s="29"/>
      <c r="R98" s="29"/>
      <c r="S98" s="29"/>
      <c r="T98" s="30"/>
      <c r="U98" s="75"/>
      <c r="V98" s="75"/>
      <c r="W98" s="25" t="str">
        <f aca="false">IF(Tasks[[#This Row],[Task Name]]="","",IF(N(Tasks[[#This Row],[Baseline Start]])&gt;0,Tasks[[#This Row],[Baseline Start]],Tasks[[#This Row],[_CalcStart]]))</f>
        <v/>
      </c>
      <c r="X98" s="25" t="str">
        <f aca="false">IF(Tasks[[#This Row],[Task Name]]="","",IF(N(Tasks[[#This Row],[Baseline Finish]])&gt;0,Tasks[[#This Row],[Baseline Finish]],Tasks[[#This Row],[_CalcFinish]]))</f>
        <v/>
      </c>
      <c r="Y98" s="75"/>
      <c r="Z98" s="75"/>
      <c r="AA98" s="25" t="str">
        <f aca="false">IF(Tasks[[#This Row],[Task Name]]="","",IF(Tasks[[#This Row],[_IsSummary]],MIN(INDEX(Tasks[_ShownFcstStart],Tasks[[#This Row],[_Row]]+1):INDEX(Tasks[_ShownFcstStart],Tasks[[#This Row],[_Row]]+Tasks[[#This Row],[_Descendants]])),Tasks[[#This Row],[_ShownFcstStart]]))</f>
        <v/>
      </c>
      <c r="AB98" s="25" t="str">
        <f aca="false">IF(Tasks[[#This Row],[Task Name]]="","",IF(Tasks[[#This Row],[_IsSummary]],MAX(INDEX(Tasks[_ShownFcstFinish],Tasks[[#This Row],[_Row]]+1):INDEX(Tasks[_ShownFcstFinish],Tasks[[#This Row],[_Row]]+Tasks[[#This Row],[_Descendants]])),Tasks[[#This Row],[_ShownFcstFinish]]))</f>
        <v/>
      </c>
      <c r="AC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8" s="25" t="str">
        <f aca="false">IF(Tasks[[#This Row],[Task Name]]="","",IF(Tasks[[#This Row],[_IsSummary]],MIN(INDEX(Tasks[_LeafLateStart],Tasks[[#This Row],[_Row]]+1):INDEX(Tasks[_LeafLateStart],Tasks[[#This Row],[_Row]]+Tasks[[#This Row],[_Descendants]])),Tasks[[#This Row],[_LeafLateStart]]))</f>
        <v/>
      </c>
      <c r="AF98" s="25" t="str">
        <f aca="false">IF(Tasks[[#This Row],[Task Name]]="","",IF(Tasks[[#This Row],[_IsSummary]],MAX(INDEX(Tasks[_LeafLateFinish],Tasks[[#This Row],[_Row]]+1):INDEX(Tasks[_LeafLateFinish],Tasks[[#This Row],[_Row]]+Tasks[[#This Row],[_Descendants]])),Tasks[[#This Row],[_LeafLateFinish]]))</f>
        <v/>
      </c>
      <c r="AG98" s="28" t="str">
        <f aca="false">IF(Tasks[[#This Row],[Task Name]]="","",IF(Tasks[[#This Row],[_IsSummary]],MIN(INDEX(Tasks[_LeafTotalSlack],Tasks[[#This Row],[_Row]]+1):INDEX(Tasks[_LeafTotalSlack],Tasks[[#This Row],[_Row]]+Tasks[[#This Row],[_Descendants]])),Tasks[[#This Row],[_LeafTotalSlack]]))</f>
        <v/>
      </c>
      <c r="AH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8" s="28" t="str">
        <f aca="false">IF(Tasks[[#This Row],[Task Name]]="","",IF(IF(Tasks[[#This Row],[_IsSummary]],COUNTIF(INDEX(Tasks[_LeafCritical],Tasks[[#This Row],[_Row]]+1):INDEX(Tasks[_LeafCritical],Tasks[[#This Row],[_Row]]+Tasks[[#This Row],[_Descendants]]),TRUE())&gt;0,Tasks[[#This Row],[_LeafCritical]]),"Yes",""))</f>
        <v/>
      </c>
      <c r="AJ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8" s="89"/>
      <c r="AM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8" s="28" t="str">
        <f aca="false">IF(Tasks[[#This Row],[Task Name]]="","",IF(Tasks[[#This Row],[Progress]]&gt;=1,"Complete",IF(OR(N(Tasks[[#This Row],[Actual Start]])&gt;0,Tasks[[#This Row],[Progress]]&gt;0),IF(Tasks[[#This Row],[Finish Var]]&gt;0,"Behind","In Progress"),IF(Tasks[[#This Row],[Planned Start]]&lt;StatusDate,"Late Start","Not Started"))))</f>
        <v/>
      </c>
      <c r="AO98" s="30"/>
      <c r="AP98" s="89"/>
      <c r="AQ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8" s="96" t="str">
        <f aca="false">IF(Tasks[[#This Row],[Task Name]]="","",IF(Tasks[[#This Row],[_IsSummary]],SUM(INDEX(Tasks[_LeafTotalWork],Tasks[[#This Row],[_Row]]+1):INDEX(Tasks[_LeafTotalWork],Tasks[[#This Row],[_Row]]+Tasks[[#This Row],[_Descendants]])),Tasks[[#This Row],[_LeafTotalWork]]))</f>
        <v/>
      </c>
      <c r="AT98" s="97" t="str">
        <f aca="false">IF(Tasks[[#This Row],[Task Name]]="","",IF(Tasks[[#This Row],[_IsSummary]],SUM(INDEX(Tasks[_LeafTotalCost],Tasks[[#This Row],[_Row]]+1):INDEX(Tasks[_LeafTotalCost],Tasks[[#This Row],[_Row]]+Tasks[[#This Row],[_Descendants]])),Tasks[[#This Row],[_LeafTotalCost]]))</f>
        <v/>
      </c>
      <c r="AU98" s="98"/>
      <c r="AV98" s="29"/>
      <c r="AW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8" s="83"/>
      <c r="AY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8" s="30"/>
      <c r="BA98" s="25" t="str">
        <f aca="false">IF(Tasks[[#This Row],[Task Name]]="","",Tasks[[#This Row],[Forecast Start]])</f>
        <v/>
      </c>
      <c r="BB98" s="25" t="str">
        <f aca="false">IF(Tasks[[#This Row],[Task Name]]="","",Tasks[[#This Row],[Forecast Finish]])</f>
        <v/>
      </c>
      <c r="BC98" s="28" t="str">
        <f aca="false">IF(Tasks[[#This Row],[Task Name]]="","",IF(Tasks[[#This Row],[_IsSummary]],NETWORKDAYS.INTL(Tasks[[#This Row],[Forecast Start]],Tasks[[#This Row],[Forecast Finish]],WorkWeek,Holidays),N(Tasks[[#This Row],[Duration]])))</f>
        <v/>
      </c>
      <c r="BD98" s="96" t="str">
        <f aca="false">IF(Tasks[[#This Row],[Task Name]]="","",Tasks[[#This Row],[Work]])</f>
        <v/>
      </c>
      <c r="BE98" s="97" t="str">
        <f aca="false">IF(Tasks[[#This Row],[Task Name]]="","",Tasks[[#This Row],[Cost]])</f>
        <v/>
      </c>
      <c r="BF98" s="75"/>
      <c r="BG98" s="75"/>
      <c r="BH98" s="29"/>
      <c r="BI98" s="99"/>
      <c r="BJ98" s="98"/>
      <c r="BK98" s="28" t="str">
        <f aca="false">IF(OR(Tasks[[#This Row],[Task Name]]="",Tasks[[#This Row],[Baseline Duration]]=""),"",Tasks[[#This Row],[BL Source Duration]]-N(Tasks[[#This Row],[Baseline Duration]]))</f>
        <v/>
      </c>
      <c r="BL98" s="96" t="str">
        <f aca="false">IF(OR(Tasks[[#This Row],[Task Name]]="",Tasks[[#This Row],[Baseline Work]]=""),"",Tasks[[#This Row],[Work]]-N(Tasks[[#This Row],[Baseline Work]]))</f>
        <v/>
      </c>
      <c r="BM98" s="97" t="str">
        <f aca="false">IF(OR(Tasks[[#This Row],[Task Name]]="",Tasks[[#This Row],[Baseline Cost]]=""),"",Tasks[[#This Row],[Cost]]-N(Tasks[[#This Row],[Baseline Cost]]))</f>
        <v/>
      </c>
      <c r="BN98" s="97" t="str">
        <f aca="false">IF(Tasks[[#This Row],[Task Name]]="","",IF(Tasks[[#This Row],[_IsSummary]],SUM(INDEX(Tasks[_LeafBudget],Tasks[[#This Row],[_Row]]+1):INDEX(Tasks[_LeafBudget],Tasks[[#This Row],[_Row]]+Tasks[[#This Row],[_Descendants]])),Tasks[[#This Row],[_LeafBudget]]))</f>
        <v/>
      </c>
      <c r="BO98" s="97" t="str">
        <f aca="false">IF(Tasks[[#This Row],[Task Name]]="","",IF(Tasks[[#This Row],[_IsSummary]],SUM(INDEX(Tasks[_LeafPV],Tasks[[#This Row],[_Row]]+1):INDEX(Tasks[_LeafPV],Tasks[[#This Row],[_Row]]+Tasks[[#This Row],[_Descendants]])),Tasks[[#This Row],[_LeafPV]]))</f>
        <v/>
      </c>
      <c r="BP98" s="97" t="str">
        <f aca="false">IF(Tasks[[#This Row],[Task Name]]="","",IF(Tasks[[#This Row],[_IsSummary]],SUM(INDEX(Tasks[_LeafEV],Tasks[[#This Row],[_Row]]+1):INDEX(Tasks[_LeafEV],Tasks[[#This Row],[_Row]]+Tasks[[#This Row],[_Descendants]])),Tasks[[#This Row],[_LeafEV]]))</f>
        <v/>
      </c>
      <c r="BQ98" s="97" t="str">
        <f aca="false">IF(Tasks[[#This Row],[Task Name]]="","",IF(Tasks[[#This Row],[_IsSummary]],SUM(INDEX(Tasks[_LeafAC],Tasks[[#This Row],[_Row]]+1):INDEX(Tasks[_LeafAC],Tasks[[#This Row],[_Row]]+Tasks[[#This Row],[_Descendants]])),Tasks[[#This Row],[_LeafAC]]))</f>
        <v/>
      </c>
      <c r="BR98" s="41" t="str">
        <f aca="false">IF(Tasks[[#This Row],[Task Name]]="","",MAX(1,N(Tasks[[#This Row],[Level]])))</f>
        <v/>
      </c>
      <c r="BS98" s="41" t="n">
        <f aca="false">ROW()-ROW(Tasks[[#Headers],[ID]])</f>
        <v>93</v>
      </c>
      <c r="BT98" s="41" t="n">
        <f aca="false">IF(OR(Tasks[[#This Row],[Task Name]]="",Tasks[[#This Row],[_Level]]&lt;=1),0,IFERROR(LOOKUP(2,1/(Tasks[[#Headers],[_Level]]:Tasks[[#This Row],[_Level]]=Tasks[[#This Row],[_Level]]-1),ROW(Tasks[[#Headers],[_Level]]:Tasks[[#This Row],[_Level]])),0))</f>
        <v>0</v>
      </c>
      <c r="BU98" s="41" t="n">
        <f aca="false">IFERROR(N(INDEX(Tasks[_Level],Tasks[[#This Row],[_Row]]+1)),0)</f>
        <v>0</v>
      </c>
      <c r="BV98" s="100" t="b">
        <f aca="false">AND(Tasks[[#This Row],[Task Name]]&lt;&gt;"",Tasks[[#This Row],[_NextLevel]]&gt;Tasks[[#This Row],[_Level]])</f>
        <v>0</v>
      </c>
      <c r="BW98" s="41" t="n">
        <f aca="false">IF(Tasks[[#This Row],[_IsSummary]],COUNTIF(Tasks[WBS],Tasks[[#This Row],[WBS]]&amp;".*"),0)</f>
        <v>0</v>
      </c>
      <c r="BX98" s="41" t="n">
        <f aca="false">IF(AND(Tasks[[#This Row],[Task Name]]&lt;&gt;"",NOT(Tasks[[#This Row],[_IsSummary]])),1,0)</f>
        <v>0</v>
      </c>
      <c r="BY98" s="41" t="n">
        <f aca="false">IF(N(Tasks[[#This Row],[Pred1 UID]])=0,0,IFERROR(MATCH(Tasks[[#This Row],[Pred1 UID]],Tasks[UID],0),-1))</f>
        <v>0</v>
      </c>
      <c r="BZ98" s="41" t="n">
        <f aca="false">IF(N(Tasks[[#This Row],[Pred2 UID]])=0,0,IFERROR(MATCH(Tasks[[#This Row],[Pred2 UID]],Tasks[UID],0),-1))</f>
        <v>0</v>
      </c>
      <c r="CA98" s="41" t="n">
        <f aca="false">IF(N(Tasks[[#This Row],[Pred3 UID]])=0,0,IFERROR(MATCH(Tasks[[#This Row],[Pred3 UID]],Tasks[UID],0),-1))</f>
        <v>0</v>
      </c>
      <c r="CB98" s="41" t="n">
        <f aca="false">IF(N(Tasks[[#This Row],[Pred4 UID]])=0,0,IFERROR(MATCH(Tasks[[#This Row],[Pred4 UID]],Tasks[UID],0),-1))</f>
        <v>0</v>
      </c>
      <c r="CC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8" s="101" t="n">
        <f aca="false">IF(OR(Tasks[[#This Row],[_ConstraintCode]]=2,Tasks[[#This Row],[_ConstraintCode]]=3,Tasks[[#This Row],[_ConstraintCode]]=4,Tasks[[#This Row],[_ConstraintCode]]=6),Tasks[[#This Row],[_ConstraintStart]],0)</f>
        <v>0</v>
      </c>
      <c r="CF98" s="101" t="n">
        <f aca="false">IF(OR(Tasks[[#This Row],[_ConstraintCode]]=2,Tasks[[#This Row],[_ConstraintCode]]=3,Tasks[[#This Row],[_ConstraintCode]]=5,Tasks[[#This Row],[_ConstraintCode]]=7),Tasks[[#This Row],[_ConstraintStart]],2958465)</f>
        <v>2958465</v>
      </c>
      <c r="CG9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8" s="101" t="str">
        <f aca="false">IF(NOT(Tasks[[#This Row],[_IsLeaf]]=1),"",IF(N(Tasks[[#This Row],[Duration]])&lt;=0,Tasks[[#This Row],[_LeafCalcStart]],WORKDAY.INTL(Tasks[[#This Row],[_LeafCalcStart]],Tasks[[#This Row],[Duration]]-1,WorkWeek,Holidays)))</f>
        <v/>
      </c>
      <c r="CI9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8" s="41" t="n">
        <f aca="false">IF(NOT(Tasks[[#This Row],[_IsLeaf]]=1),0,IF(N(Tasks[[#This Row],[Actual Finish]])&gt;0,1,MIN(1,N(Tasks[[#This Row],[% Complete]]))))</f>
        <v>0</v>
      </c>
      <c r="CL98" s="41" t="n">
        <f aca="false">IF(OR(NOT(Tasks[[#This Row],[_IsLeaf]]=1),Tasks[[#This Row],[Resource]]=""),0,N(Tasks[[#This Row],[Duration]])*HoursPerDay*IF(Tasks[[#This Row],[Units]]="",DefaultUnits,Tasks[[#This Row],[Units]]))</f>
        <v>0</v>
      </c>
      <c r="CM98" s="41" t="n">
        <f aca="false">IF(Tasks[[#This Row],[_LeafWork]]=0,0,Tasks[[#This Row],[_LeafWork]]*IFERROR(INDEX(res_Rate,MATCH(Tasks[[#This Row],[Resource]],res_Name,0)),0))</f>
        <v>0</v>
      </c>
      <c r="CN98" s="41" t="n">
        <f aca="false">Tasks[[#This Row],[_LeafWork]]+IF(Tasks[[#This Row],[_IsLeaf]]=1,SUMIFS(asg_Work,asg_TaskUID,Tasks[[#This Row],[UID]],asg_Valid,1),0)</f>
        <v>0</v>
      </c>
      <c r="CO98" s="41" t="n">
        <f aca="false">Tasks[[#This Row],[_LeafCost]]+IF(Tasks[[#This Row],[_IsLeaf]]=1,SUMIFS(asg_Cost,asg_TaskUID,Tasks[[#This Row],[UID]],asg_Valid,1),0)</f>
        <v>0</v>
      </c>
      <c r="CP98" s="41" t="n">
        <f aca="false">IF(Tasks[[#This Row],[_LeafTotalCost]]=0,Tasks[[#This Row],[_LeafAC]],Tasks[[#This Row],[_LeafAC]]*Tasks[[#This Row],[_LeafCost]]/Tasks[[#This Row],[_LeafTotalCost]])</f>
        <v>0</v>
      </c>
      <c r="CQ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8" s="41" t="n">
        <f aca="false">IF(NOT(Tasks[[#This Row],[_IsLeaf]]=1),0,MAX(_xlfn.MAXIFS(Tasks[_Row],Tasks[Pred1 UID],Tasks[[#This Row],[UID]]),_xlfn.MAXIFS(Tasks[_Row],Tasks[Pred2 UID],Tasks[[#This Row],[UID]]),_xlfn.MAXIFS(Tasks[_Row],Tasks[Pred3 UID],Tasks[[#This Row],[UID]]),_xlfn.MAXIFS(Tasks[_Row],Tasks[Pred4 UID],Tasks[[#This Row],[UID]])))</f>
        <v>0</v>
      </c>
      <c r="CZ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8" s="101" t="str">
        <f aca="false">IF(NOT(Tasks[[#This Row],[_IsLeaf]]=1),"",IF(N(Tasks[[#This Row],[Duration]])&lt;=0,Tasks[[#This Row],[_LeafLateFinish]],WORKDAY.INTL(Tasks[[#This Row],[_LeafLateFinish]],-(Tasks[[#This Row],[Duration]]-1),WorkWeek,Holidays)))</f>
        <v/>
      </c>
      <c r="DC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8" s="100" t="b">
        <f aca="false">AND(Tasks[[#This Row],[_IsLeaf]]=1,Tasks[[#This Row],[_LeafProgress]]&lt;1,N(Tasks[[#This Row],[_LeafTotalSlack]])&lt;=CriticalSlackDays)</f>
        <v>0</v>
      </c>
      <c r="DE98" s="41" t="n">
        <f aca="false">IF(AND(Tasks[[#This Row],[_IsLeaf]]=1,Tasks[[#This Row],[_ConstraintCode]]=1,Tasks[[#This Row],[Mode]]&lt;&gt;"Manual",N(Tasks[[#This Row],[Actual Start]])=0),MAX(0,N(Tasks[[#This Row],[Free Slack]])),0)</f>
        <v>0</v>
      </c>
      <c r="DF98" s="101" t="str">
        <f aca="false">IF(NOT(Tasks[[#This Row],[_IsLeaf]]=1),"",IF(Tasks[[#This Row],[_AlapShift]]=0,Tasks[[#This Row],[_LeafCalcStart]],WORKDAY.INTL(Tasks[[#This Row],[_LeafCalcStart]],Tasks[[#This Row],[_AlapShift]],WorkWeek,Holidays)))</f>
        <v/>
      </c>
      <c r="DG98" s="101" t="str">
        <f aca="false">IF(NOT(Tasks[[#This Row],[_IsLeaf]]=1),"",IF(Tasks[[#This Row],[_AlapShift]]=0,Tasks[[#This Row],[_LeafCalcFinish]],WORKDAY.INTL(Tasks[[#This Row],[_LeafCalcFinish]],Tasks[[#This Row],[_AlapShift]],WorkWeek,Holidays)))</f>
        <v/>
      </c>
      <c r="DH98" s="101" t="str">
        <f aca="false">IF(NOT(Tasks[[#This Row],[_IsLeaf]]=1),"",IF(Tasks[[#This Row],[_AlapShift]]=0,Tasks[[#This Row],[_LeafFcstStart]],WORKDAY.INTL(Tasks[[#This Row],[_LeafFcstStart]],Tasks[[#This Row],[_AlapShift]],WorkWeek,Holidays)))</f>
        <v/>
      </c>
      <c r="DI98" s="101" t="str">
        <f aca="false">IF(NOT(Tasks[[#This Row],[_IsLeaf]]=1),"",IF(Tasks[[#This Row],[_AlapShift]]=0,Tasks[[#This Row],[_LeafFcstFinish]],WORKDAY.INTL(Tasks[[#This Row],[_LeafFcstFinish]],Tasks[[#This Row],[_AlapShift]],WorkWeek,Holidays)))</f>
        <v/>
      </c>
      <c r="DJ98" s="101" t="str">
        <f aca="false">IF(Tasks[[#This Row],[Task Name]]="","",IF(Tasks[[#This Row],[_IsSummary]],MIN(INDEX(Tasks[_ShownCalcStart],Tasks[[#This Row],[_Row]]+1):INDEX(Tasks[_ShownCalcStart],Tasks[[#This Row],[_Row]]+Tasks[[#This Row],[_Descendants]])),Tasks[[#This Row],[_ShownCalcStart]]))</f>
        <v/>
      </c>
      <c r="DK98" s="101" t="str">
        <f aca="false">IF(Tasks[[#This Row],[Task Name]]="","",IF(Tasks[[#This Row],[_IsSummary]],MAX(INDEX(Tasks[_ShownCalcFinish],Tasks[[#This Row],[_Row]]+1):INDEX(Tasks[_ShownCalcFinish],Tasks[[#This Row],[_Row]]+Tasks[[#This Row],[_Descendants]])),Tasks[[#This Row],[_ShownCalcFinish]]))</f>
        <v/>
      </c>
      <c r="D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8" s="41" t="n">
        <f aca="false">IF(AND(Tasks[[#This Row],[_IsLeaf]]=1,Tasks[[#This Row],[_LeafTotalWork]]&gt;0),NETWORKDAYS.INTL(ProjectStart,Tasks[[#This Row],[_ShownFcstStart]],WorkWeek,Holidays),0)</f>
        <v>0</v>
      </c>
      <c r="DY98" s="41" t="n">
        <f aca="false">IF(AND(Tasks[[#This Row],[_IsLeaf]]=1,Tasks[[#This Row],[_LeafTotalWork]]&gt;0),MAX(Tasks[[#This Row],[_StartWorkday]],NETWORKDAYS.INTL(ProjectStart,Tasks[[#This Row],[_ShownFcstFinish]],WorkWeek,Holidays)),0)</f>
        <v>0</v>
      </c>
      <c r="DZ98" s="41" t="n">
        <f aca="false">IF(AND(Tasks[[#This Row],[_IsLeaf]]=1,Tasks[[#This Row],[_LeafTotalWork]]&gt;0),Tasks[[#This Row],[_LeafWork]]/(Tasks[[#This Row],[_FinishWorkday]]-Tasks[[#This Row],[_StartWorkday]]+1),0)</f>
        <v>0</v>
      </c>
      <c r="EA98" s="41" t="n">
        <f aca="false">Tasks[[#This Row],[_WorkPerWorkday]]*(Tasks[[#This Row],[_StartWorkday]]-1)</f>
        <v>-0</v>
      </c>
      <c r="EB98" s="41" t="n">
        <f aca="false">IF(Tasks[[#This Row],[_IsLeaf]]=1,MAX(N(Tasks[[#This Row],[Duration]]),0.1),0)</f>
        <v>0</v>
      </c>
      <c r="EC98" s="41" t="n">
        <f aca="false">Tasks[[#This Row],[_WeightDur]]*Tasks[[#This Row],[_LeafProgress]]</f>
        <v>0</v>
      </c>
      <c r="ED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8" s="41" t="str">
        <f aca="false">IF(AND(Tasks[[#This Row],[_IsLeaf]]=1,N(Tasks[[#This Row],[Duration]])=0,Tasks[[#This Row],[_LeafProgress]]&lt;1),Tasks[[#This Row],[_ShownFcstFinish]]+Tasks[[#This Row],[_Row]]/100000,"")</f>
        <v/>
      </c>
      <c r="EF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8" s="41" t="n">
        <f aca="false">IF(NOT(Tasks[[#This Row],[_IsLeaf]]=1),0,IF(Tasks[[#This Row],[Baseline Cost]]="",Tasks[[#This Row],[_LeafTotalCost]],N(Tasks[[#This Row],[Baseline Cost]])))</f>
        <v>0</v>
      </c>
      <c r="EH98" s="41" t="n">
        <f aca="false">Tasks[[#This Row],[_LeafBudget]]*Tasks[[#This Row],[_PlannedPct]]</f>
        <v>0</v>
      </c>
      <c r="EI98" s="41" t="n">
        <f aca="false">Tasks[[#This Row],[_LeafBudget]]*Tasks[[#This Row],[_LeafProgress]]</f>
        <v>0</v>
      </c>
      <c r="EJ98" s="41" t="n">
        <f aca="false">IF(NOT(Tasks[[#This Row],[_IsLeaf]]=1),0,IF(Tasks[[#This Row],[Actual Cost]]="",Tasks[[#This Row],[_LeafTotalCost]]*Tasks[[#This Row],[_LeafProgress]],N(Tasks[[#This Row],[Actual Cost]])))</f>
        <v>0</v>
      </c>
      <c r="EK98" s="41" t="str">
        <f aca="false">IF(Tasks[[#This Row],[Task Name]]="","",LEFT(Tasks[[#This Row],[WBS]],FIND(".",Tasks[[#This Row],[WBS]]&amp;".")-1))</f>
        <v/>
      </c>
      <c r="EL98" s="41" t="str">
        <f aca="false">IF(AND(Tasks[[#This Row],[Task Name]]&lt;&gt;"",Tasks[[#This Row],[_Level]]=1),Tasks[[#This Row],[_Row]],"")</f>
        <v/>
      </c>
      <c r="EM98" s="41" t="str">
        <f aca="false">IF(AND(Tasks[[#This Row],[_IsLeaf]]=1,N(Tasks[[#This Row],[Duration]])=0),Tasks[[#This Row],[Planned Finish]]+Tasks[[#This Row],[_Row]]/100000,"")</f>
        <v/>
      </c>
      <c r="EN98" s="41" t="str">
        <f aca="false">IF(AND(Tasks[[#This Row],[_IsLeaf]]=1,Tasks[[#This Row],[_LeafProgress]]&lt;1,OR(N(Tasks[[#This Row],[Finish Var]])&gt;0,Tasks[[#This Row],[Status]]="Late Start")),MAX(0,Tasks[[#This Row],[Finish Var]])+1-Tasks[[#This Row],[_Row]]/1000000,"")</f>
        <v/>
      </c>
      <c r="EO98" s="41" t="str">
        <f aca="false">IF(AND(Tasks[[#This Row],[_IsLeaf]]=1,N(Tasks[[#This Row],[Actual Start]])=0,Tasks[[#This Row],[_ShownFcstStart]]&gt;=StatusDate,Tasks[[#This Row],[_ShownFcstStart]]&lt;=LookaheadEnd),Tasks[[#This Row],[_ShownFcstStart]]+Tasks[[#This Row],[_Row]]/100000,"")</f>
        <v/>
      </c>
      <c r="EP98" s="41" t="str">
        <f aca="false">IF(AND(Tasks[[#This Row],[_IsLeaf]]=1,Tasks[[#This Row],[_LeafProgress]]&lt;1,Tasks[[#This Row],[_ShownFcstFinish]]&gt;=StatusDate,Tasks[[#This Row],[_ShownFcstFinish]]&lt;=LookaheadEnd),Tasks[[#This Row],[_ShownFcstFinish]]+Tasks[[#This Row],[_Row]]/100000,"")</f>
        <v/>
      </c>
      <c r="EQ98" s="41" t="str">
        <f aca="false">IF(Tasks[[#This Row],[_LeafCritical]],Tasks[[#This Row],[_ShownFcstStart]]+Tasks[[#This Row],[_Row]]/100000,"")</f>
        <v/>
      </c>
      <c r="ER98" s="41" t="n">
        <f aca="false">Tasks[[#This Row],[_LeafWork]]*Tasks[[#This Row],[_LeafProgress]]</f>
        <v>0</v>
      </c>
      <c r="ES98" s="101" t="str">
        <f aca="false">IF(AND(Tasks[[#This Row],[_IsLeaf]]=1,Tasks[[#This Row],[_LeafProgress]]&gt;=1),IF(N(Tasks[[#This Row],[Actual Finish]])&gt;0,Tasks[[#This Row],[Actual Finish]],Tasks[[#This Row],[_ShownFcstFinish]]),"")</f>
        <v/>
      </c>
      <c r="ET98" s="41" t="n">
        <f aca="false">IF(Tasks[[#This Row],[_IsLeaf]]=1,N(Tasks[[#This Row],[Story Points]]),0)</f>
        <v>0</v>
      </c>
      <c r="EU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29"/>
      <c r="O99" s="29"/>
      <c r="P99" s="29"/>
      <c r="Q99" s="29"/>
      <c r="R99" s="29"/>
      <c r="S99" s="29"/>
      <c r="T99" s="30"/>
      <c r="U99" s="75"/>
      <c r="V99" s="75"/>
      <c r="W99" s="25" t="str">
        <f aca="false">IF(Tasks[[#This Row],[Task Name]]="","",IF(N(Tasks[[#This Row],[Baseline Start]])&gt;0,Tasks[[#This Row],[Baseline Start]],Tasks[[#This Row],[_CalcStart]]))</f>
        <v/>
      </c>
      <c r="X99" s="25" t="str">
        <f aca="false">IF(Tasks[[#This Row],[Task Name]]="","",IF(N(Tasks[[#This Row],[Baseline Finish]])&gt;0,Tasks[[#This Row],[Baseline Finish]],Tasks[[#This Row],[_CalcFinish]]))</f>
        <v/>
      </c>
      <c r="Y99" s="75"/>
      <c r="Z99" s="75"/>
      <c r="AA99" s="25" t="str">
        <f aca="false">IF(Tasks[[#This Row],[Task Name]]="","",IF(Tasks[[#This Row],[_IsSummary]],MIN(INDEX(Tasks[_ShownFcstStart],Tasks[[#This Row],[_Row]]+1):INDEX(Tasks[_ShownFcstStart],Tasks[[#This Row],[_Row]]+Tasks[[#This Row],[_Descendants]])),Tasks[[#This Row],[_ShownFcstStart]]))</f>
        <v/>
      </c>
      <c r="AB99" s="25" t="str">
        <f aca="false">IF(Tasks[[#This Row],[Task Name]]="","",IF(Tasks[[#This Row],[_IsSummary]],MAX(INDEX(Tasks[_ShownFcstFinish],Tasks[[#This Row],[_Row]]+1):INDEX(Tasks[_ShownFcstFinish],Tasks[[#This Row],[_Row]]+Tasks[[#This Row],[_Descendants]])),Tasks[[#This Row],[_ShownFcstFinish]]))</f>
        <v/>
      </c>
      <c r="AC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9" s="25" t="str">
        <f aca="false">IF(Tasks[[#This Row],[Task Name]]="","",IF(Tasks[[#This Row],[_IsSummary]],MIN(INDEX(Tasks[_LeafLateStart],Tasks[[#This Row],[_Row]]+1):INDEX(Tasks[_LeafLateStart],Tasks[[#This Row],[_Row]]+Tasks[[#This Row],[_Descendants]])),Tasks[[#This Row],[_LeafLateStart]]))</f>
        <v/>
      </c>
      <c r="AF99" s="25" t="str">
        <f aca="false">IF(Tasks[[#This Row],[Task Name]]="","",IF(Tasks[[#This Row],[_IsSummary]],MAX(INDEX(Tasks[_LeafLateFinish],Tasks[[#This Row],[_Row]]+1):INDEX(Tasks[_LeafLateFinish],Tasks[[#This Row],[_Row]]+Tasks[[#This Row],[_Descendants]])),Tasks[[#This Row],[_LeafLateFinish]]))</f>
        <v/>
      </c>
      <c r="AG99" s="28" t="str">
        <f aca="false">IF(Tasks[[#This Row],[Task Name]]="","",IF(Tasks[[#This Row],[_IsSummary]],MIN(INDEX(Tasks[_LeafTotalSlack],Tasks[[#This Row],[_Row]]+1):INDEX(Tasks[_LeafTotalSlack],Tasks[[#This Row],[_Row]]+Tasks[[#This Row],[_Descendants]])),Tasks[[#This Row],[_LeafTotalSlack]]))</f>
        <v/>
      </c>
      <c r="AH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9" s="28" t="str">
        <f aca="false">IF(Tasks[[#This Row],[Task Name]]="","",IF(IF(Tasks[[#This Row],[_IsSummary]],COUNTIF(INDEX(Tasks[_LeafCritical],Tasks[[#This Row],[_Row]]+1):INDEX(Tasks[_LeafCritical],Tasks[[#This Row],[_Row]]+Tasks[[#This Row],[_Descendants]]),TRUE())&gt;0,Tasks[[#This Row],[_LeafCritical]]),"Yes",""))</f>
        <v/>
      </c>
      <c r="AJ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9" s="89"/>
      <c r="AM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9" s="28" t="str">
        <f aca="false">IF(Tasks[[#This Row],[Task Name]]="","",IF(Tasks[[#This Row],[Progress]]&gt;=1,"Complete",IF(OR(N(Tasks[[#This Row],[Actual Start]])&gt;0,Tasks[[#This Row],[Progress]]&gt;0),IF(Tasks[[#This Row],[Finish Var]]&gt;0,"Behind","In Progress"),IF(Tasks[[#This Row],[Planned Start]]&lt;StatusDate,"Late Start","Not Started"))))</f>
        <v/>
      </c>
      <c r="AO99" s="30"/>
      <c r="AP99" s="89"/>
      <c r="AQ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9" s="96" t="str">
        <f aca="false">IF(Tasks[[#This Row],[Task Name]]="","",IF(Tasks[[#This Row],[_IsSummary]],SUM(INDEX(Tasks[_LeafTotalWork],Tasks[[#This Row],[_Row]]+1):INDEX(Tasks[_LeafTotalWork],Tasks[[#This Row],[_Row]]+Tasks[[#This Row],[_Descendants]])),Tasks[[#This Row],[_LeafTotalWork]]))</f>
        <v/>
      </c>
      <c r="AT99" s="97" t="str">
        <f aca="false">IF(Tasks[[#This Row],[Task Name]]="","",IF(Tasks[[#This Row],[_IsSummary]],SUM(INDEX(Tasks[_LeafTotalCost],Tasks[[#This Row],[_Row]]+1):INDEX(Tasks[_LeafTotalCost],Tasks[[#This Row],[_Row]]+Tasks[[#This Row],[_Descendants]])),Tasks[[#This Row],[_LeafTotalCost]]))</f>
        <v/>
      </c>
      <c r="AU99" s="98"/>
      <c r="AV99" s="29"/>
      <c r="AW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9" s="83"/>
      <c r="AY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9" s="30"/>
      <c r="BA99" s="25" t="str">
        <f aca="false">IF(Tasks[[#This Row],[Task Name]]="","",Tasks[[#This Row],[Forecast Start]])</f>
        <v/>
      </c>
      <c r="BB99" s="25" t="str">
        <f aca="false">IF(Tasks[[#This Row],[Task Name]]="","",Tasks[[#This Row],[Forecast Finish]])</f>
        <v/>
      </c>
      <c r="BC99" s="28" t="str">
        <f aca="false">IF(Tasks[[#This Row],[Task Name]]="","",IF(Tasks[[#This Row],[_IsSummary]],NETWORKDAYS.INTL(Tasks[[#This Row],[Forecast Start]],Tasks[[#This Row],[Forecast Finish]],WorkWeek,Holidays),N(Tasks[[#This Row],[Duration]])))</f>
        <v/>
      </c>
      <c r="BD99" s="96" t="str">
        <f aca="false">IF(Tasks[[#This Row],[Task Name]]="","",Tasks[[#This Row],[Work]])</f>
        <v/>
      </c>
      <c r="BE99" s="97" t="str">
        <f aca="false">IF(Tasks[[#This Row],[Task Name]]="","",Tasks[[#This Row],[Cost]])</f>
        <v/>
      </c>
      <c r="BF99" s="75"/>
      <c r="BG99" s="75"/>
      <c r="BH99" s="29"/>
      <c r="BI99" s="99"/>
      <c r="BJ99" s="98"/>
      <c r="BK99" s="28" t="str">
        <f aca="false">IF(OR(Tasks[[#This Row],[Task Name]]="",Tasks[[#This Row],[Baseline Duration]]=""),"",Tasks[[#This Row],[BL Source Duration]]-N(Tasks[[#This Row],[Baseline Duration]]))</f>
        <v/>
      </c>
      <c r="BL99" s="96" t="str">
        <f aca="false">IF(OR(Tasks[[#This Row],[Task Name]]="",Tasks[[#This Row],[Baseline Work]]=""),"",Tasks[[#This Row],[Work]]-N(Tasks[[#This Row],[Baseline Work]]))</f>
        <v/>
      </c>
      <c r="BM99" s="97" t="str">
        <f aca="false">IF(OR(Tasks[[#This Row],[Task Name]]="",Tasks[[#This Row],[Baseline Cost]]=""),"",Tasks[[#This Row],[Cost]]-N(Tasks[[#This Row],[Baseline Cost]]))</f>
        <v/>
      </c>
      <c r="BN99" s="97" t="str">
        <f aca="false">IF(Tasks[[#This Row],[Task Name]]="","",IF(Tasks[[#This Row],[_IsSummary]],SUM(INDEX(Tasks[_LeafBudget],Tasks[[#This Row],[_Row]]+1):INDEX(Tasks[_LeafBudget],Tasks[[#This Row],[_Row]]+Tasks[[#This Row],[_Descendants]])),Tasks[[#This Row],[_LeafBudget]]))</f>
        <v/>
      </c>
      <c r="BO99" s="97" t="str">
        <f aca="false">IF(Tasks[[#This Row],[Task Name]]="","",IF(Tasks[[#This Row],[_IsSummary]],SUM(INDEX(Tasks[_LeafPV],Tasks[[#This Row],[_Row]]+1):INDEX(Tasks[_LeafPV],Tasks[[#This Row],[_Row]]+Tasks[[#This Row],[_Descendants]])),Tasks[[#This Row],[_LeafPV]]))</f>
        <v/>
      </c>
      <c r="BP99" s="97" t="str">
        <f aca="false">IF(Tasks[[#This Row],[Task Name]]="","",IF(Tasks[[#This Row],[_IsSummary]],SUM(INDEX(Tasks[_LeafEV],Tasks[[#This Row],[_Row]]+1):INDEX(Tasks[_LeafEV],Tasks[[#This Row],[_Row]]+Tasks[[#This Row],[_Descendants]])),Tasks[[#This Row],[_LeafEV]]))</f>
        <v/>
      </c>
      <c r="BQ99" s="97" t="str">
        <f aca="false">IF(Tasks[[#This Row],[Task Name]]="","",IF(Tasks[[#This Row],[_IsSummary]],SUM(INDEX(Tasks[_LeafAC],Tasks[[#This Row],[_Row]]+1):INDEX(Tasks[_LeafAC],Tasks[[#This Row],[_Row]]+Tasks[[#This Row],[_Descendants]])),Tasks[[#This Row],[_LeafAC]]))</f>
        <v/>
      </c>
      <c r="BR99" s="41" t="str">
        <f aca="false">IF(Tasks[[#This Row],[Task Name]]="","",MAX(1,N(Tasks[[#This Row],[Level]])))</f>
        <v/>
      </c>
      <c r="BS99" s="41" t="n">
        <f aca="false">ROW()-ROW(Tasks[[#Headers],[ID]])</f>
        <v>94</v>
      </c>
      <c r="BT99" s="41" t="n">
        <f aca="false">IF(OR(Tasks[[#This Row],[Task Name]]="",Tasks[[#This Row],[_Level]]&lt;=1),0,IFERROR(LOOKUP(2,1/(Tasks[[#Headers],[_Level]]:Tasks[[#This Row],[_Level]]=Tasks[[#This Row],[_Level]]-1),ROW(Tasks[[#Headers],[_Level]]:Tasks[[#This Row],[_Level]])),0))</f>
        <v>0</v>
      </c>
      <c r="BU99" s="41" t="n">
        <f aca="false">IFERROR(N(INDEX(Tasks[_Level],Tasks[[#This Row],[_Row]]+1)),0)</f>
        <v>0</v>
      </c>
      <c r="BV99" s="100" t="b">
        <f aca="false">AND(Tasks[[#This Row],[Task Name]]&lt;&gt;"",Tasks[[#This Row],[_NextLevel]]&gt;Tasks[[#This Row],[_Level]])</f>
        <v>0</v>
      </c>
      <c r="BW99" s="41" t="n">
        <f aca="false">IF(Tasks[[#This Row],[_IsSummary]],COUNTIF(Tasks[WBS],Tasks[[#This Row],[WBS]]&amp;".*"),0)</f>
        <v>0</v>
      </c>
      <c r="BX99" s="41" t="n">
        <f aca="false">IF(AND(Tasks[[#This Row],[Task Name]]&lt;&gt;"",NOT(Tasks[[#This Row],[_IsSummary]])),1,0)</f>
        <v>0</v>
      </c>
      <c r="BY99" s="41" t="n">
        <f aca="false">IF(N(Tasks[[#This Row],[Pred1 UID]])=0,0,IFERROR(MATCH(Tasks[[#This Row],[Pred1 UID]],Tasks[UID],0),-1))</f>
        <v>0</v>
      </c>
      <c r="BZ99" s="41" t="n">
        <f aca="false">IF(N(Tasks[[#This Row],[Pred2 UID]])=0,0,IFERROR(MATCH(Tasks[[#This Row],[Pred2 UID]],Tasks[UID],0),-1))</f>
        <v>0</v>
      </c>
      <c r="CA99" s="41" t="n">
        <f aca="false">IF(N(Tasks[[#This Row],[Pred3 UID]])=0,0,IFERROR(MATCH(Tasks[[#This Row],[Pred3 UID]],Tasks[UID],0),-1))</f>
        <v>0</v>
      </c>
      <c r="CB99" s="41" t="n">
        <f aca="false">IF(N(Tasks[[#This Row],[Pred4 UID]])=0,0,IFERROR(MATCH(Tasks[[#This Row],[Pred4 UID]],Tasks[UID],0),-1))</f>
        <v>0</v>
      </c>
      <c r="CC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9" s="101" t="n">
        <f aca="false">IF(OR(Tasks[[#This Row],[_ConstraintCode]]=2,Tasks[[#This Row],[_ConstraintCode]]=3,Tasks[[#This Row],[_ConstraintCode]]=4,Tasks[[#This Row],[_ConstraintCode]]=6),Tasks[[#This Row],[_ConstraintStart]],0)</f>
        <v>0</v>
      </c>
      <c r="CF99" s="101" t="n">
        <f aca="false">IF(OR(Tasks[[#This Row],[_ConstraintCode]]=2,Tasks[[#This Row],[_ConstraintCode]]=3,Tasks[[#This Row],[_ConstraintCode]]=5,Tasks[[#This Row],[_ConstraintCode]]=7),Tasks[[#This Row],[_ConstraintStart]],2958465)</f>
        <v>2958465</v>
      </c>
      <c r="CG9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9" s="101" t="str">
        <f aca="false">IF(NOT(Tasks[[#This Row],[_IsLeaf]]=1),"",IF(N(Tasks[[#This Row],[Duration]])&lt;=0,Tasks[[#This Row],[_LeafCalcStart]],WORKDAY.INTL(Tasks[[#This Row],[_LeafCalcStart]],Tasks[[#This Row],[Duration]]-1,WorkWeek,Holidays)))</f>
        <v/>
      </c>
      <c r="CI9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9" s="41" t="n">
        <f aca="false">IF(NOT(Tasks[[#This Row],[_IsLeaf]]=1),0,IF(N(Tasks[[#This Row],[Actual Finish]])&gt;0,1,MIN(1,N(Tasks[[#This Row],[% Complete]]))))</f>
        <v>0</v>
      </c>
      <c r="CL99" s="41" t="n">
        <f aca="false">IF(OR(NOT(Tasks[[#This Row],[_IsLeaf]]=1),Tasks[[#This Row],[Resource]]=""),0,N(Tasks[[#This Row],[Duration]])*HoursPerDay*IF(Tasks[[#This Row],[Units]]="",DefaultUnits,Tasks[[#This Row],[Units]]))</f>
        <v>0</v>
      </c>
      <c r="CM99" s="41" t="n">
        <f aca="false">IF(Tasks[[#This Row],[_LeafWork]]=0,0,Tasks[[#This Row],[_LeafWork]]*IFERROR(INDEX(res_Rate,MATCH(Tasks[[#This Row],[Resource]],res_Name,0)),0))</f>
        <v>0</v>
      </c>
      <c r="CN99" s="41" t="n">
        <f aca="false">Tasks[[#This Row],[_LeafWork]]+IF(Tasks[[#This Row],[_IsLeaf]]=1,SUMIFS(asg_Work,asg_TaskUID,Tasks[[#This Row],[UID]],asg_Valid,1),0)</f>
        <v>0</v>
      </c>
      <c r="CO99" s="41" t="n">
        <f aca="false">Tasks[[#This Row],[_LeafCost]]+IF(Tasks[[#This Row],[_IsLeaf]]=1,SUMIFS(asg_Cost,asg_TaskUID,Tasks[[#This Row],[UID]],asg_Valid,1),0)</f>
        <v>0</v>
      </c>
      <c r="CP99" s="41" t="n">
        <f aca="false">IF(Tasks[[#This Row],[_LeafTotalCost]]=0,Tasks[[#This Row],[_LeafAC]],Tasks[[#This Row],[_LeafAC]]*Tasks[[#This Row],[_LeafCost]]/Tasks[[#This Row],[_LeafTotalCost]])</f>
        <v>0</v>
      </c>
      <c r="CQ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9" s="41" t="n">
        <f aca="false">IF(NOT(Tasks[[#This Row],[_IsLeaf]]=1),0,MAX(_xlfn.MAXIFS(Tasks[_Row],Tasks[Pred1 UID],Tasks[[#This Row],[UID]]),_xlfn.MAXIFS(Tasks[_Row],Tasks[Pred2 UID],Tasks[[#This Row],[UID]]),_xlfn.MAXIFS(Tasks[_Row],Tasks[Pred3 UID],Tasks[[#This Row],[UID]]),_xlfn.MAXIFS(Tasks[_Row],Tasks[Pred4 UID],Tasks[[#This Row],[UID]])))</f>
        <v>0</v>
      </c>
      <c r="CZ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9" s="101" t="str">
        <f aca="false">IF(NOT(Tasks[[#This Row],[_IsLeaf]]=1),"",IF(N(Tasks[[#This Row],[Duration]])&lt;=0,Tasks[[#This Row],[_LeafLateFinish]],WORKDAY.INTL(Tasks[[#This Row],[_LeafLateFinish]],-(Tasks[[#This Row],[Duration]]-1),WorkWeek,Holidays)))</f>
        <v/>
      </c>
      <c r="DC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9" s="100" t="b">
        <f aca="false">AND(Tasks[[#This Row],[_IsLeaf]]=1,Tasks[[#This Row],[_LeafProgress]]&lt;1,N(Tasks[[#This Row],[_LeafTotalSlack]])&lt;=CriticalSlackDays)</f>
        <v>0</v>
      </c>
      <c r="DE99" s="41" t="n">
        <f aca="false">IF(AND(Tasks[[#This Row],[_IsLeaf]]=1,Tasks[[#This Row],[_ConstraintCode]]=1,Tasks[[#This Row],[Mode]]&lt;&gt;"Manual",N(Tasks[[#This Row],[Actual Start]])=0),MAX(0,N(Tasks[[#This Row],[Free Slack]])),0)</f>
        <v>0</v>
      </c>
      <c r="DF99" s="101" t="str">
        <f aca="false">IF(NOT(Tasks[[#This Row],[_IsLeaf]]=1),"",IF(Tasks[[#This Row],[_AlapShift]]=0,Tasks[[#This Row],[_LeafCalcStart]],WORKDAY.INTL(Tasks[[#This Row],[_LeafCalcStart]],Tasks[[#This Row],[_AlapShift]],WorkWeek,Holidays)))</f>
        <v/>
      </c>
      <c r="DG99" s="101" t="str">
        <f aca="false">IF(NOT(Tasks[[#This Row],[_IsLeaf]]=1),"",IF(Tasks[[#This Row],[_AlapShift]]=0,Tasks[[#This Row],[_LeafCalcFinish]],WORKDAY.INTL(Tasks[[#This Row],[_LeafCalcFinish]],Tasks[[#This Row],[_AlapShift]],WorkWeek,Holidays)))</f>
        <v/>
      </c>
      <c r="DH99" s="101" t="str">
        <f aca="false">IF(NOT(Tasks[[#This Row],[_IsLeaf]]=1),"",IF(Tasks[[#This Row],[_AlapShift]]=0,Tasks[[#This Row],[_LeafFcstStart]],WORKDAY.INTL(Tasks[[#This Row],[_LeafFcstStart]],Tasks[[#This Row],[_AlapShift]],WorkWeek,Holidays)))</f>
        <v/>
      </c>
      <c r="DI99" s="101" t="str">
        <f aca="false">IF(NOT(Tasks[[#This Row],[_IsLeaf]]=1),"",IF(Tasks[[#This Row],[_AlapShift]]=0,Tasks[[#This Row],[_LeafFcstFinish]],WORKDAY.INTL(Tasks[[#This Row],[_LeafFcstFinish]],Tasks[[#This Row],[_AlapShift]],WorkWeek,Holidays)))</f>
        <v/>
      </c>
      <c r="DJ99" s="101" t="str">
        <f aca="false">IF(Tasks[[#This Row],[Task Name]]="","",IF(Tasks[[#This Row],[_IsSummary]],MIN(INDEX(Tasks[_ShownCalcStart],Tasks[[#This Row],[_Row]]+1):INDEX(Tasks[_ShownCalcStart],Tasks[[#This Row],[_Row]]+Tasks[[#This Row],[_Descendants]])),Tasks[[#This Row],[_ShownCalcStart]]))</f>
        <v/>
      </c>
      <c r="DK99" s="101" t="str">
        <f aca="false">IF(Tasks[[#This Row],[Task Name]]="","",IF(Tasks[[#This Row],[_IsSummary]],MAX(INDEX(Tasks[_ShownCalcFinish],Tasks[[#This Row],[_Row]]+1):INDEX(Tasks[_ShownCalcFinish],Tasks[[#This Row],[_Row]]+Tasks[[#This Row],[_Descendants]])),Tasks[[#This Row],[_ShownCalcFinish]]))</f>
        <v/>
      </c>
      <c r="D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9" s="41" t="n">
        <f aca="false">IF(AND(Tasks[[#This Row],[_IsLeaf]]=1,Tasks[[#This Row],[_LeafTotalWork]]&gt;0),NETWORKDAYS.INTL(ProjectStart,Tasks[[#This Row],[_ShownFcstStart]],WorkWeek,Holidays),0)</f>
        <v>0</v>
      </c>
      <c r="DY99" s="41" t="n">
        <f aca="false">IF(AND(Tasks[[#This Row],[_IsLeaf]]=1,Tasks[[#This Row],[_LeafTotalWork]]&gt;0),MAX(Tasks[[#This Row],[_StartWorkday]],NETWORKDAYS.INTL(ProjectStart,Tasks[[#This Row],[_ShownFcstFinish]],WorkWeek,Holidays)),0)</f>
        <v>0</v>
      </c>
      <c r="DZ99" s="41" t="n">
        <f aca="false">IF(AND(Tasks[[#This Row],[_IsLeaf]]=1,Tasks[[#This Row],[_LeafTotalWork]]&gt;0),Tasks[[#This Row],[_LeafWork]]/(Tasks[[#This Row],[_FinishWorkday]]-Tasks[[#This Row],[_StartWorkday]]+1),0)</f>
        <v>0</v>
      </c>
      <c r="EA99" s="41" t="n">
        <f aca="false">Tasks[[#This Row],[_WorkPerWorkday]]*(Tasks[[#This Row],[_StartWorkday]]-1)</f>
        <v>-0</v>
      </c>
      <c r="EB99" s="41" t="n">
        <f aca="false">IF(Tasks[[#This Row],[_IsLeaf]]=1,MAX(N(Tasks[[#This Row],[Duration]]),0.1),0)</f>
        <v>0</v>
      </c>
      <c r="EC99" s="41" t="n">
        <f aca="false">Tasks[[#This Row],[_WeightDur]]*Tasks[[#This Row],[_LeafProgress]]</f>
        <v>0</v>
      </c>
      <c r="ED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9" s="41" t="str">
        <f aca="false">IF(AND(Tasks[[#This Row],[_IsLeaf]]=1,N(Tasks[[#This Row],[Duration]])=0,Tasks[[#This Row],[_LeafProgress]]&lt;1),Tasks[[#This Row],[_ShownFcstFinish]]+Tasks[[#This Row],[_Row]]/100000,"")</f>
        <v/>
      </c>
      <c r="EF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9" s="41" t="n">
        <f aca="false">IF(NOT(Tasks[[#This Row],[_IsLeaf]]=1),0,IF(Tasks[[#This Row],[Baseline Cost]]="",Tasks[[#This Row],[_LeafTotalCost]],N(Tasks[[#This Row],[Baseline Cost]])))</f>
        <v>0</v>
      </c>
      <c r="EH99" s="41" t="n">
        <f aca="false">Tasks[[#This Row],[_LeafBudget]]*Tasks[[#This Row],[_PlannedPct]]</f>
        <v>0</v>
      </c>
      <c r="EI99" s="41" t="n">
        <f aca="false">Tasks[[#This Row],[_LeafBudget]]*Tasks[[#This Row],[_LeafProgress]]</f>
        <v>0</v>
      </c>
      <c r="EJ99" s="41" t="n">
        <f aca="false">IF(NOT(Tasks[[#This Row],[_IsLeaf]]=1),0,IF(Tasks[[#This Row],[Actual Cost]]="",Tasks[[#This Row],[_LeafTotalCost]]*Tasks[[#This Row],[_LeafProgress]],N(Tasks[[#This Row],[Actual Cost]])))</f>
        <v>0</v>
      </c>
      <c r="EK99" s="41" t="str">
        <f aca="false">IF(Tasks[[#This Row],[Task Name]]="","",LEFT(Tasks[[#This Row],[WBS]],FIND(".",Tasks[[#This Row],[WBS]]&amp;".")-1))</f>
        <v/>
      </c>
      <c r="EL99" s="41" t="str">
        <f aca="false">IF(AND(Tasks[[#This Row],[Task Name]]&lt;&gt;"",Tasks[[#This Row],[_Level]]=1),Tasks[[#This Row],[_Row]],"")</f>
        <v/>
      </c>
      <c r="EM99" s="41" t="str">
        <f aca="false">IF(AND(Tasks[[#This Row],[_IsLeaf]]=1,N(Tasks[[#This Row],[Duration]])=0),Tasks[[#This Row],[Planned Finish]]+Tasks[[#This Row],[_Row]]/100000,"")</f>
        <v/>
      </c>
      <c r="EN99" s="41" t="str">
        <f aca="false">IF(AND(Tasks[[#This Row],[_IsLeaf]]=1,Tasks[[#This Row],[_LeafProgress]]&lt;1,OR(N(Tasks[[#This Row],[Finish Var]])&gt;0,Tasks[[#This Row],[Status]]="Late Start")),MAX(0,Tasks[[#This Row],[Finish Var]])+1-Tasks[[#This Row],[_Row]]/1000000,"")</f>
        <v/>
      </c>
      <c r="EO99" s="41" t="str">
        <f aca="false">IF(AND(Tasks[[#This Row],[_IsLeaf]]=1,N(Tasks[[#This Row],[Actual Start]])=0,Tasks[[#This Row],[_ShownFcstStart]]&gt;=StatusDate,Tasks[[#This Row],[_ShownFcstStart]]&lt;=LookaheadEnd),Tasks[[#This Row],[_ShownFcstStart]]+Tasks[[#This Row],[_Row]]/100000,"")</f>
        <v/>
      </c>
      <c r="EP99" s="41" t="str">
        <f aca="false">IF(AND(Tasks[[#This Row],[_IsLeaf]]=1,Tasks[[#This Row],[_LeafProgress]]&lt;1,Tasks[[#This Row],[_ShownFcstFinish]]&gt;=StatusDate,Tasks[[#This Row],[_ShownFcstFinish]]&lt;=LookaheadEnd),Tasks[[#This Row],[_ShownFcstFinish]]+Tasks[[#This Row],[_Row]]/100000,"")</f>
        <v/>
      </c>
      <c r="EQ99" s="41" t="str">
        <f aca="false">IF(Tasks[[#This Row],[_LeafCritical]],Tasks[[#This Row],[_ShownFcstStart]]+Tasks[[#This Row],[_Row]]/100000,"")</f>
        <v/>
      </c>
      <c r="ER99" s="41" t="n">
        <f aca="false">Tasks[[#This Row],[_LeafWork]]*Tasks[[#This Row],[_LeafProgress]]</f>
        <v>0</v>
      </c>
      <c r="ES99" s="101" t="str">
        <f aca="false">IF(AND(Tasks[[#This Row],[_IsLeaf]]=1,Tasks[[#This Row],[_LeafProgress]]&gt;=1),IF(N(Tasks[[#This Row],[Actual Finish]])&gt;0,Tasks[[#This Row],[Actual Finish]],Tasks[[#This Row],[_ShownFcstFinish]]),"")</f>
        <v/>
      </c>
      <c r="ET99" s="41" t="n">
        <f aca="false">IF(Tasks[[#This Row],[_IsLeaf]]=1,N(Tasks[[#This Row],[Story Points]]),0)</f>
        <v>0</v>
      </c>
      <c r="EU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29"/>
      <c r="O100" s="29"/>
      <c r="P100" s="29"/>
      <c r="Q100" s="29"/>
      <c r="R100" s="29"/>
      <c r="S100" s="29"/>
      <c r="T100" s="30"/>
      <c r="U100" s="75"/>
      <c r="V100" s="75"/>
      <c r="W100" s="25" t="str">
        <f aca="false">IF(Tasks[[#This Row],[Task Name]]="","",IF(N(Tasks[[#This Row],[Baseline Start]])&gt;0,Tasks[[#This Row],[Baseline Start]],Tasks[[#This Row],[_CalcStart]]))</f>
        <v/>
      </c>
      <c r="X100" s="25" t="str">
        <f aca="false">IF(Tasks[[#This Row],[Task Name]]="","",IF(N(Tasks[[#This Row],[Baseline Finish]])&gt;0,Tasks[[#This Row],[Baseline Finish]],Tasks[[#This Row],[_CalcFinish]]))</f>
        <v/>
      </c>
      <c r="Y100" s="75"/>
      <c r="Z100" s="75"/>
      <c r="AA100" s="25" t="str">
        <f aca="false">IF(Tasks[[#This Row],[Task Name]]="","",IF(Tasks[[#This Row],[_IsSummary]],MIN(INDEX(Tasks[_ShownFcstStart],Tasks[[#This Row],[_Row]]+1):INDEX(Tasks[_ShownFcstStart],Tasks[[#This Row],[_Row]]+Tasks[[#This Row],[_Descendants]])),Tasks[[#This Row],[_ShownFcstStart]]))</f>
        <v/>
      </c>
      <c r="AB100" s="25" t="str">
        <f aca="false">IF(Tasks[[#This Row],[Task Name]]="","",IF(Tasks[[#This Row],[_IsSummary]],MAX(INDEX(Tasks[_ShownFcstFinish],Tasks[[#This Row],[_Row]]+1):INDEX(Tasks[_ShownFcstFinish],Tasks[[#This Row],[_Row]]+Tasks[[#This Row],[_Descendants]])),Tasks[[#This Row],[_ShownFcstFinish]]))</f>
        <v/>
      </c>
      <c r="AC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0" s="25" t="str">
        <f aca="false">IF(Tasks[[#This Row],[Task Name]]="","",IF(Tasks[[#This Row],[_IsSummary]],MIN(INDEX(Tasks[_LeafLateStart],Tasks[[#This Row],[_Row]]+1):INDEX(Tasks[_LeafLateStart],Tasks[[#This Row],[_Row]]+Tasks[[#This Row],[_Descendants]])),Tasks[[#This Row],[_LeafLateStart]]))</f>
        <v/>
      </c>
      <c r="AF100" s="25" t="str">
        <f aca="false">IF(Tasks[[#This Row],[Task Name]]="","",IF(Tasks[[#This Row],[_IsSummary]],MAX(INDEX(Tasks[_LeafLateFinish],Tasks[[#This Row],[_Row]]+1):INDEX(Tasks[_LeafLateFinish],Tasks[[#This Row],[_Row]]+Tasks[[#This Row],[_Descendants]])),Tasks[[#This Row],[_LeafLateFinish]]))</f>
        <v/>
      </c>
      <c r="AG100" s="28" t="str">
        <f aca="false">IF(Tasks[[#This Row],[Task Name]]="","",IF(Tasks[[#This Row],[_IsSummary]],MIN(INDEX(Tasks[_LeafTotalSlack],Tasks[[#This Row],[_Row]]+1):INDEX(Tasks[_LeafTotalSlack],Tasks[[#This Row],[_Row]]+Tasks[[#This Row],[_Descendants]])),Tasks[[#This Row],[_LeafTotalSlack]]))</f>
        <v/>
      </c>
      <c r="AH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0" s="28" t="str">
        <f aca="false">IF(Tasks[[#This Row],[Task Name]]="","",IF(IF(Tasks[[#This Row],[_IsSummary]],COUNTIF(INDEX(Tasks[_LeafCritical],Tasks[[#This Row],[_Row]]+1):INDEX(Tasks[_LeafCritical],Tasks[[#This Row],[_Row]]+Tasks[[#This Row],[_Descendants]]),TRUE())&gt;0,Tasks[[#This Row],[_LeafCritical]]),"Yes",""))</f>
        <v/>
      </c>
      <c r="AJ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0" s="89"/>
      <c r="AM1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0" s="28" t="str">
        <f aca="false">IF(Tasks[[#This Row],[Task Name]]="","",IF(Tasks[[#This Row],[Progress]]&gt;=1,"Complete",IF(OR(N(Tasks[[#This Row],[Actual Start]])&gt;0,Tasks[[#This Row],[Progress]]&gt;0),IF(Tasks[[#This Row],[Finish Var]]&gt;0,"Behind","In Progress"),IF(Tasks[[#This Row],[Planned Start]]&lt;StatusDate,"Late Start","Not Started"))))</f>
        <v/>
      </c>
      <c r="AO100" s="30"/>
      <c r="AP100" s="89"/>
      <c r="AQ1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0" s="96" t="str">
        <f aca="false">IF(Tasks[[#This Row],[Task Name]]="","",IF(Tasks[[#This Row],[_IsSummary]],SUM(INDEX(Tasks[_LeafTotalWork],Tasks[[#This Row],[_Row]]+1):INDEX(Tasks[_LeafTotalWork],Tasks[[#This Row],[_Row]]+Tasks[[#This Row],[_Descendants]])),Tasks[[#This Row],[_LeafTotalWork]]))</f>
        <v/>
      </c>
      <c r="AT100" s="97" t="str">
        <f aca="false">IF(Tasks[[#This Row],[Task Name]]="","",IF(Tasks[[#This Row],[_IsSummary]],SUM(INDEX(Tasks[_LeafTotalCost],Tasks[[#This Row],[_Row]]+1):INDEX(Tasks[_LeafTotalCost],Tasks[[#This Row],[_Row]]+Tasks[[#This Row],[_Descendants]])),Tasks[[#This Row],[_LeafTotalCost]]))</f>
        <v/>
      </c>
      <c r="AU100" s="98"/>
      <c r="AV100" s="29"/>
      <c r="AW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0" s="83"/>
      <c r="AY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0" s="30"/>
      <c r="BA100" s="25" t="str">
        <f aca="false">IF(Tasks[[#This Row],[Task Name]]="","",Tasks[[#This Row],[Forecast Start]])</f>
        <v/>
      </c>
      <c r="BB100" s="25" t="str">
        <f aca="false">IF(Tasks[[#This Row],[Task Name]]="","",Tasks[[#This Row],[Forecast Finish]])</f>
        <v/>
      </c>
      <c r="BC100" s="28" t="str">
        <f aca="false">IF(Tasks[[#This Row],[Task Name]]="","",IF(Tasks[[#This Row],[_IsSummary]],NETWORKDAYS.INTL(Tasks[[#This Row],[Forecast Start]],Tasks[[#This Row],[Forecast Finish]],WorkWeek,Holidays),N(Tasks[[#This Row],[Duration]])))</f>
        <v/>
      </c>
      <c r="BD100" s="96" t="str">
        <f aca="false">IF(Tasks[[#This Row],[Task Name]]="","",Tasks[[#This Row],[Work]])</f>
        <v/>
      </c>
      <c r="BE100" s="97" t="str">
        <f aca="false">IF(Tasks[[#This Row],[Task Name]]="","",Tasks[[#This Row],[Cost]])</f>
        <v/>
      </c>
      <c r="BF100" s="75"/>
      <c r="BG100" s="75"/>
      <c r="BH100" s="29"/>
      <c r="BI100" s="99"/>
      <c r="BJ100" s="98"/>
      <c r="BK100" s="28" t="str">
        <f aca="false">IF(OR(Tasks[[#This Row],[Task Name]]="",Tasks[[#This Row],[Baseline Duration]]=""),"",Tasks[[#This Row],[BL Source Duration]]-N(Tasks[[#This Row],[Baseline Duration]]))</f>
        <v/>
      </c>
      <c r="BL100" s="96" t="str">
        <f aca="false">IF(OR(Tasks[[#This Row],[Task Name]]="",Tasks[[#This Row],[Baseline Work]]=""),"",Tasks[[#This Row],[Work]]-N(Tasks[[#This Row],[Baseline Work]]))</f>
        <v/>
      </c>
      <c r="BM100" s="97" t="str">
        <f aca="false">IF(OR(Tasks[[#This Row],[Task Name]]="",Tasks[[#This Row],[Baseline Cost]]=""),"",Tasks[[#This Row],[Cost]]-N(Tasks[[#This Row],[Baseline Cost]]))</f>
        <v/>
      </c>
      <c r="BN100" s="97" t="str">
        <f aca="false">IF(Tasks[[#This Row],[Task Name]]="","",IF(Tasks[[#This Row],[_IsSummary]],SUM(INDEX(Tasks[_LeafBudget],Tasks[[#This Row],[_Row]]+1):INDEX(Tasks[_LeafBudget],Tasks[[#This Row],[_Row]]+Tasks[[#This Row],[_Descendants]])),Tasks[[#This Row],[_LeafBudget]]))</f>
        <v/>
      </c>
      <c r="BO100" s="97" t="str">
        <f aca="false">IF(Tasks[[#This Row],[Task Name]]="","",IF(Tasks[[#This Row],[_IsSummary]],SUM(INDEX(Tasks[_LeafPV],Tasks[[#This Row],[_Row]]+1):INDEX(Tasks[_LeafPV],Tasks[[#This Row],[_Row]]+Tasks[[#This Row],[_Descendants]])),Tasks[[#This Row],[_LeafPV]]))</f>
        <v/>
      </c>
      <c r="BP100" s="97" t="str">
        <f aca="false">IF(Tasks[[#This Row],[Task Name]]="","",IF(Tasks[[#This Row],[_IsSummary]],SUM(INDEX(Tasks[_LeafEV],Tasks[[#This Row],[_Row]]+1):INDEX(Tasks[_LeafEV],Tasks[[#This Row],[_Row]]+Tasks[[#This Row],[_Descendants]])),Tasks[[#This Row],[_LeafEV]]))</f>
        <v/>
      </c>
      <c r="BQ100" s="97" t="str">
        <f aca="false">IF(Tasks[[#This Row],[Task Name]]="","",IF(Tasks[[#This Row],[_IsSummary]],SUM(INDEX(Tasks[_LeafAC],Tasks[[#This Row],[_Row]]+1):INDEX(Tasks[_LeafAC],Tasks[[#This Row],[_Row]]+Tasks[[#This Row],[_Descendants]])),Tasks[[#This Row],[_LeafAC]]))</f>
        <v/>
      </c>
      <c r="BR100" s="41" t="str">
        <f aca="false">IF(Tasks[[#This Row],[Task Name]]="","",MAX(1,N(Tasks[[#This Row],[Level]])))</f>
        <v/>
      </c>
      <c r="BS100" s="41" t="n">
        <f aca="false">ROW()-ROW(Tasks[[#Headers],[ID]])</f>
        <v>95</v>
      </c>
      <c r="BT100" s="41" t="n">
        <f aca="false">IF(OR(Tasks[[#This Row],[Task Name]]="",Tasks[[#This Row],[_Level]]&lt;=1),0,IFERROR(LOOKUP(2,1/(Tasks[[#Headers],[_Level]]:Tasks[[#This Row],[_Level]]=Tasks[[#This Row],[_Level]]-1),ROW(Tasks[[#Headers],[_Level]]:Tasks[[#This Row],[_Level]])),0))</f>
        <v>0</v>
      </c>
      <c r="BU100" s="41" t="n">
        <f aca="false">IFERROR(N(INDEX(Tasks[_Level],Tasks[[#This Row],[_Row]]+1)),0)</f>
        <v>0</v>
      </c>
      <c r="BV100" s="100" t="b">
        <f aca="false">AND(Tasks[[#This Row],[Task Name]]&lt;&gt;"",Tasks[[#This Row],[_NextLevel]]&gt;Tasks[[#This Row],[_Level]])</f>
        <v>0</v>
      </c>
      <c r="BW100" s="41" t="n">
        <f aca="false">IF(Tasks[[#This Row],[_IsSummary]],COUNTIF(Tasks[WBS],Tasks[[#This Row],[WBS]]&amp;".*"),0)</f>
        <v>0</v>
      </c>
      <c r="BX100" s="41" t="n">
        <f aca="false">IF(AND(Tasks[[#This Row],[Task Name]]&lt;&gt;"",NOT(Tasks[[#This Row],[_IsSummary]])),1,0)</f>
        <v>0</v>
      </c>
      <c r="BY100" s="41" t="n">
        <f aca="false">IF(N(Tasks[[#This Row],[Pred1 UID]])=0,0,IFERROR(MATCH(Tasks[[#This Row],[Pred1 UID]],Tasks[UID],0),-1))</f>
        <v>0</v>
      </c>
      <c r="BZ100" s="41" t="n">
        <f aca="false">IF(N(Tasks[[#This Row],[Pred2 UID]])=0,0,IFERROR(MATCH(Tasks[[#This Row],[Pred2 UID]],Tasks[UID],0),-1))</f>
        <v>0</v>
      </c>
      <c r="CA100" s="41" t="n">
        <f aca="false">IF(N(Tasks[[#This Row],[Pred3 UID]])=0,0,IFERROR(MATCH(Tasks[[#This Row],[Pred3 UID]],Tasks[UID],0),-1))</f>
        <v>0</v>
      </c>
      <c r="CB100" s="41" t="n">
        <f aca="false">IF(N(Tasks[[#This Row],[Pred4 UID]])=0,0,IFERROR(MATCH(Tasks[[#This Row],[Pred4 UID]],Tasks[UID],0),-1))</f>
        <v>0</v>
      </c>
      <c r="CC1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0" s="101" t="n">
        <f aca="false">IF(OR(Tasks[[#This Row],[_ConstraintCode]]=2,Tasks[[#This Row],[_ConstraintCode]]=3,Tasks[[#This Row],[_ConstraintCode]]=4,Tasks[[#This Row],[_ConstraintCode]]=6),Tasks[[#This Row],[_ConstraintStart]],0)</f>
        <v>0</v>
      </c>
      <c r="CF100" s="101" t="n">
        <f aca="false">IF(OR(Tasks[[#This Row],[_ConstraintCode]]=2,Tasks[[#This Row],[_ConstraintCode]]=3,Tasks[[#This Row],[_ConstraintCode]]=5,Tasks[[#This Row],[_ConstraintCode]]=7),Tasks[[#This Row],[_ConstraintStart]],2958465)</f>
        <v>2958465</v>
      </c>
      <c r="CG10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0" s="101" t="str">
        <f aca="false">IF(NOT(Tasks[[#This Row],[_IsLeaf]]=1),"",IF(N(Tasks[[#This Row],[Duration]])&lt;=0,Tasks[[#This Row],[_LeafCalcStart]],WORKDAY.INTL(Tasks[[#This Row],[_LeafCalcStart]],Tasks[[#This Row],[Duration]]-1,WorkWeek,Holidays)))</f>
        <v/>
      </c>
      <c r="CI10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0" s="41" t="n">
        <f aca="false">IF(NOT(Tasks[[#This Row],[_IsLeaf]]=1),0,IF(N(Tasks[[#This Row],[Actual Finish]])&gt;0,1,MIN(1,N(Tasks[[#This Row],[% Complete]]))))</f>
        <v>0</v>
      </c>
      <c r="CL100" s="41" t="n">
        <f aca="false">IF(OR(NOT(Tasks[[#This Row],[_IsLeaf]]=1),Tasks[[#This Row],[Resource]]=""),0,N(Tasks[[#This Row],[Duration]])*HoursPerDay*IF(Tasks[[#This Row],[Units]]="",DefaultUnits,Tasks[[#This Row],[Units]]))</f>
        <v>0</v>
      </c>
      <c r="CM100" s="41" t="n">
        <f aca="false">IF(Tasks[[#This Row],[_LeafWork]]=0,0,Tasks[[#This Row],[_LeafWork]]*IFERROR(INDEX(res_Rate,MATCH(Tasks[[#This Row],[Resource]],res_Name,0)),0))</f>
        <v>0</v>
      </c>
      <c r="CN100" s="41" t="n">
        <f aca="false">Tasks[[#This Row],[_LeafWork]]+IF(Tasks[[#This Row],[_IsLeaf]]=1,SUMIFS(asg_Work,asg_TaskUID,Tasks[[#This Row],[UID]],asg_Valid,1),0)</f>
        <v>0</v>
      </c>
      <c r="CO100" s="41" t="n">
        <f aca="false">Tasks[[#This Row],[_LeafCost]]+IF(Tasks[[#This Row],[_IsLeaf]]=1,SUMIFS(asg_Cost,asg_TaskUID,Tasks[[#This Row],[UID]],asg_Valid,1),0)</f>
        <v>0</v>
      </c>
      <c r="CP100" s="41" t="n">
        <f aca="false">IF(Tasks[[#This Row],[_LeafTotalCost]]=0,Tasks[[#This Row],[_LeafAC]],Tasks[[#This Row],[_LeafAC]]*Tasks[[#This Row],[_LeafCost]]/Tasks[[#This Row],[_LeafTotalCost]])</f>
        <v>0</v>
      </c>
      <c r="CQ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0" s="41" t="n">
        <f aca="false">IF(NOT(Tasks[[#This Row],[_IsLeaf]]=1),0,MAX(_xlfn.MAXIFS(Tasks[_Row],Tasks[Pred1 UID],Tasks[[#This Row],[UID]]),_xlfn.MAXIFS(Tasks[_Row],Tasks[Pred2 UID],Tasks[[#This Row],[UID]]),_xlfn.MAXIFS(Tasks[_Row],Tasks[Pred3 UID],Tasks[[#This Row],[UID]]),_xlfn.MAXIFS(Tasks[_Row],Tasks[Pred4 UID],Tasks[[#This Row],[UID]])))</f>
        <v>0</v>
      </c>
      <c r="CZ1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0" s="101" t="str">
        <f aca="false">IF(NOT(Tasks[[#This Row],[_IsLeaf]]=1),"",IF(N(Tasks[[#This Row],[Duration]])&lt;=0,Tasks[[#This Row],[_LeafLateFinish]],WORKDAY.INTL(Tasks[[#This Row],[_LeafLateFinish]],-(Tasks[[#This Row],[Duration]]-1),WorkWeek,Holidays)))</f>
        <v/>
      </c>
      <c r="DC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0" s="100" t="b">
        <f aca="false">AND(Tasks[[#This Row],[_IsLeaf]]=1,Tasks[[#This Row],[_LeafProgress]]&lt;1,N(Tasks[[#This Row],[_LeafTotalSlack]])&lt;=CriticalSlackDays)</f>
        <v>0</v>
      </c>
      <c r="DE100" s="41" t="n">
        <f aca="false">IF(AND(Tasks[[#This Row],[_IsLeaf]]=1,Tasks[[#This Row],[_ConstraintCode]]=1,Tasks[[#This Row],[Mode]]&lt;&gt;"Manual",N(Tasks[[#This Row],[Actual Start]])=0),MAX(0,N(Tasks[[#This Row],[Free Slack]])),0)</f>
        <v>0</v>
      </c>
      <c r="DF100" s="101" t="str">
        <f aca="false">IF(NOT(Tasks[[#This Row],[_IsLeaf]]=1),"",IF(Tasks[[#This Row],[_AlapShift]]=0,Tasks[[#This Row],[_LeafCalcStart]],WORKDAY.INTL(Tasks[[#This Row],[_LeafCalcStart]],Tasks[[#This Row],[_AlapShift]],WorkWeek,Holidays)))</f>
        <v/>
      </c>
      <c r="DG100" s="101" t="str">
        <f aca="false">IF(NOT(Tasks[[#This Row],[_IsLeaf]]=1),"",IF(Tasks[[#This Row],[_AlapShift]]=0,Tasks[[#This Row],[_LeafCalcFinish]],WORKDAY.INTL(Tasks[[#This Row],[_LeafCalcFinish]],Tasks[[#This Row],[_AlapShift]],WorkWeek,Holidays)))</f>
        <v/>
      </c>
      <c r="DH100" s="101" t="str">
        <f aca="false">IF(NOT(Tasks[[#This Row],[_IsLeaf]]=1),"",IF(Tasks[[#This Row],[_AlapShift]]=0,Tasks[[#This Row],[_LeafFcstStart]],WORKDAY.INTL(Tasks[[#This Row],[_LeafFcstStart]],Tasks[[#This Row],[_AlapShift]],WorkWeek,Holidays)))</f>
        <v/>
      </c>
      <c r="DI100" s="101" t="str">
        <f aca="false">IF(NOT(Tasks[[#This Row],[_IsLeaf]]=1),"",IF(Tasks[[#This Row],[_AlapShift]]=0,Tasks[[#This Row],[_LeafFcstFinish]],WORKDAY.INTL(Tasks[[#This Row],[_LeafFcstFinish]],Tasks[[#This Row],[_AlapShift]],WorkWeek,Holidays)))</f>
        <v/>
      </c>
      <c r="DJ100" s="101" t="str">
        <f aca="false">IF(Tasks[[#This Row],[Task Name]]="","",IF(Tasks[[#This Row],[_IsSummary]],MIN(INDEX(Tasks[_ShownCalcStart],Tasks[[#This Row],[_Row]]+1):INDEX(Tasks[_ShownCalcStart],Tasks[[#This Row],[_Row]]+Tasks[[#This Row],[_Descendants]])),Tasks[[#This Row],[_ShownCalcStart]]))</f>
        <v/>
      </c>
      <c r="DK100" s="101" t="str">
        <f aca="false">IF(Tasks[[#This Row],[Task Name]]="","",IF(Tasks[[#This Row],[_IsSummary]],MAX(INDEX(Tasks[_ShownCalcFinish],Tasks[[#This Row],[_Row]]+1):INDEX(Tasks[_ShownCalcFinish],Tasks[[#This Row],[_Row]]+Tasks[[#This Row],[_Descendants]])),Tasks[[#This Row],[_ShownCalcFinish]]))</f>
        <v/>
      </c>
      <c r="D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0" s="41" t="n">
        <f aca="false">IF(AND(Tasks[[#This Row],[_IsLeaf]]=1,Tasks[[#This Row],[_LeafTotalWork]]&gt;0),NETWORKDAYS.INTL(ProjectStart,Tasks[[#This Row],[_ShownFcstStart]],WorkWeek,Holidays),0)</f>
        <v>0</v>
      </c>
      <c r="DY100" s="41" t="n">
        <f aca="false">IF(AND(Tasks[[#This Row],[_IsLeaf]]=1,Tasks[[#This Row],[_LeafTotalWork]]&gt;0),MAX(Tasks[[#This Row],[_StartWorkday]],NETWORKDAYS.INTL(ProjectStart,Tasks[[#This Row],[_ShownFcstFinish]],WorkWeek,Holidays)),0)</f>
        <v>0</v>
      </c>
      <c r="DZ100" s="41" t="n">
        <f aca="false">IF(AND(Tasks[[#This Row],[_IsLeaf]]=1,Tasks[[#This Row],[_LeafTotalWork]]&gt;0),Tasks[[#This Row],[_LeafWork]]/(Tasks[[#This Row],[_FinishWorkday]]-Tasks[[#This Row],[_StartWorkday]]+1),0)</f>
        <v>0</v>
      </c>
      <c r="EA100" s="41" t="n">
        <f aca="false">Tasks[[#This Row],[_WorkPerWorkday]]*(Tasks[[#This Row],[_StartWorkday]]-1)</f>
        <v>-0</v>
      </c>
      <c r="EB100" s="41" t="n">
        <f aca="false">IF(Tasks[[#This Row],[_IsLeaf]]=1,MAX(N(Tasks[[#This Row],[Duration]]),0.1),0)</f>
        <v>0</v>
      </c>
      <c r="EC100" s="41" t="n">
        <f aca="false">Tasks[[#This Row],[_WeightDur]]*Tasks[[#This Row],[_LeafProgress]]</f>
        <v>0</v>
      </c>
      <c r="ED1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0" s="41" t="str">
        <f aca="false">IF(AND(Tasks[[#This Row],[_IsLeaf]]=1,N(Tasks[[#This Row],[Duration]])=0,Tasks[[#This Row],[_LeafProgress]]&lt;1),Tasks[[#This Row],[_ShownFcstFinish]]+Tasks[[#This Row],[_Row]]/100000,"")</f>
        <v/>
      </c>
      <c r="EF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0" s="41" t="n">
        <f aca="false">IF(NOT(Tasks[[#This Row],[_IsLeaf]]=1),0,IF(Tasks[[#This Row],[Baseline Cost]]="",Tasks[[#This Row],[_LeafTotalCost]],N(Tasks[[#This Row],[Baseline Cost]])))</f>
        <v>0</v>
      </c>
      <c r="EH100" s="41" t="n">
        <f aca="false">Tasks[[#This Row],[_LeafBudget]]*Tasks[[#This Row],[_PlannedPct]]</f>
        <v>0</v>
      </c>
      <c r="EI100" s="41" t="n">
        <f aca="false">Tasks[[#This Row],[_LeafBudget]]*Tasks[[#This Row],[_LeafProgress]]</f>
        <v>0</v>
      </c>
      <c r="EJ100" s="41" t="n">
        <f aca="false">IF(NOT(Tasks[[#This Row],[_IsLeaf]]=1),0,IF(Tasks[[#This Row],[Actual Cost]]="",Tasks[[#This Row],[_LeafTotalCost]]*Tasks[[#This Row],[_LeafProgress]],N(Tasks[[#This Row],[Actual Cost]])))</f>
        <v>0</v>
      </c>
      <c r="EK100" s="41" t="str">
        <f aca="false">IF(Tasks[[#This Row],[Task Name]]="","",LEFT(Tasks[[#This Row],[WBS]],FIND(".",Tasks[[#This Row],[WBS]]&amp;".")-1))</f>
        <v/>
      </c>
      <c r="EL100" s="41" t="str">
        <f aca="false">IF(AND(Tasks[[#This Row],[Task Name]]&lt;&gt;"",Tasks[[#This Row],[_Level]]=1),Tasks[[#This Row],[_Row]],"")</f>
        <v/>
      </c>
      <c r="EM100" s="41" t="str">
        <f aca="false">IF(AND(Tasks[[#This Row],[_IsLeaf]]=1,N(Tasks[[#This Row],[Duration]])=0),Tasks[[#This Row],[Planned Finish]]+Tasks[[#This Row],[_Row]]/100000,"")</f>
        <v/>
      </c>
      <c r="EN100" s="41" t="str">
        <f aca="false">IF(AND(Tasks[[#This Row],[_IsLeaf]]=1,Tasks[[#This Row],[_LeafProgress]]&lt;1,OR(N(Tasks[[#This Row],[Finish Var]])&gt;0,Tasks[[#This Row],[Status]]="Late Start")),MAX(0,Tasks[[#This Row],[Finish Var]])+1-Tasks[[#This Row],[_Row]]/1000000,"")</f>
        <v/>
      </c>
      <c r="EO100" s="41" t="str">
        <f aca="false">IF(AND(Tasks[[#This Row],[_IsLeaf]]=1,N(Tasks[[#This Row],[Actual Start]])=0,Tasks[[#This Row],[_ShownFcstStart]]&gt;=StatusDate,Tasks[[#This Row],[_ShownFcstStart]]&lt;=LookaheadEnd),Tasks[[#This Row],[_ShownFcstStart]]+Tasks[[#This Row],[_Row]]/100000,"")</f>
        <v/>
      </c>
      <c r="EP100" s="41" t="str">
        <f aca="false">IF(AND(Tasks[[#This Row],[_IsLeaf]]=1,Tasks[[#This Row],[_LeafProgress]]&lt;1,Tasks[[#This Row],[_ShownFcstFinish]]&gt;=StatusDate,Tasks[[#This Row],[_ShownFcstFinish]]&lt;=LookaheadEnd),Tasks[[#This Row],[_ShownFcstFinish]]+Tasks[[#This Row],[_Row]]/100000,"")</f>
        <v/>
      </c>
      <c r="EQ100" s="41" t="str">
        <f aca="false">IF(Tasks[[#This Row],[_LeafCritical]],Tasks[[#This Row],[_ShownFcstStart]]+Tasks[[#This Row],[_Row]]/100000,"")</f>
        <v/>
      </c>
      <c r="ER100" s="41" t="n">
        <f aca="false">Tasks[[#This Row],[_LeafWork]]*Tasks[[#This Row],[_LeafProgress]]</f>
        <v>0</v>
      </c>
      <c r="ES100" s="101" t="str">
        <f aca="false">IF(AND(Tasks[[#This Row],[_IsLeaf]]=1,Tasks[[#This Row],[_LeafProgress]]&gt;=1),IF(N(Tasks[[#This Row],[Actual Finish]])&gt;0,Tasks[[#This Row],[Actual Finish]],Tasks[[#This Row],[_ShownFcstFinish]]),"")</f>
        <v/>
      </c>
      <c r="ET100" s="41" t="n">
        <f aca="false">IF(Tasks[[#This Row],[_IsLeaf]]=1,N(Tasks[[#This Row],[Story Points]]),0)</f>
        <v>0</v>
      </c>
      <c r="EU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29"/>
      <c r="O101" s="29"/>
      <c r="P101" s="29"/>
      <c r="Q101" s="29"/>
      <c r="R101" s="29"/>
      <c r="S101" s="29"/>
      <c r="T101" s="30"/>
      <c r="U101" s="75"/>
      <c r="V101" s="75"/>
      <c r="W101" s="25" t="str">
        <f aca="false">IF(Tasks[[#This Row],[Task Name]]="","",IF(N(Tasks[[#This Row],[Baseline Start]])&gt;0,Tasks[[#This Row],[Baseline Start]],Tasks[[#This Row],[_CalcStart]]))</f>
        <v/>
      </c>
      <c r="X101" s="25" t="str">
        <f aca="false">IF(Tasks[[#This Row],[Task Name]]="","",IF(N(Tasks[[#This Row],[Baseline Finish]])&gt;0,Tasks[[#This Row],[Baseline Finish]],Tasks[[#This Row],[_CalcFinish]]))</f>
        <v/>
      </c>
      <c r="Y101" s="75"/>
      <c r="Z101" s="75"/>
      <c r="AA101" s="25" t="str">
        <f aca="false">IF(Tasks[[#This Row],[Task Name]]="","",IF(Tasks[[#This Row],[_IsSummary]],MIN(INDEX(Tasks[_ShownFcstStart],Tasks[[#This Row],[_Row]]+1):INDEX(Tasks[_ShownFcstStart],Tasks[[#This Row],[_Row]]+Tasks[[#This Row],[_Descendants]])),Tasks[[#This Row],[_ShownFcstStart]]))</f>
        <v/>
      </c>
      <c r="AB101" s="25" t="str">
        <f aca="false">IF(Tasks[[#This Row],[Task Name]]="","",IF(Tasks[[#This Row],[_IsSummary]],MAX(INDEX(Tasks[_ShownFcstFinish],Tasks[[#This Row],[_Row]]+1):INDEX(Tasks[_ShownFcstFinish],Tasks[[#This Row],[_Row]]+Tasks[[#This Row],[_Descendants]])),Tasks[[#This Row],[_ShownFcstFinish]]))</f>
        <v/>
      </c>
      <c r="AC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1" s="25" t="str">
        <f aca="false">IF(Tasks[[#This Row],[Task Name]]="","",IF(Tasks[[#This Row],[_IsSummary]],MIN(INDEX(Tasks[_LeafLateStart],Tasks[[#This Row],[_Row]]+1):INDEX(Tasks[_LeafLateStart],Tasks[[#This Row],[_Row]]+Tasks[[#This Row],[_Descendants]])),Tasks[[#This Row],[_LeafLateStart]]))</f>
        <v/>
      </c>
      <c r="AF101" s="25" t="str">
        <f aca="false">IF(Tasks[[#This Row],[Task Name]]="","",IF(Tasks[[#This Row],[_IsSummary]],MAX(INDEX(Tasks[_LeafLateFinish],Tasks[[#This Row],[_Row]]+1):INDEX(Tasks[_LeafLateFinish],Tasks[[#This Row],[_Row]]+Tasks[[#This Row],[_Descendants]])),Tasks[[#This Row],[_LeafLateFinish]]))</f>
        <v/>
      </c>
      <c r="AG101" s="28" t="str">
        <f aca="false">IF(Tasks[[#This Row],[Task Name]]="","",IF(Tasks[[#This Row],[_IsSummary]],MIN(INDEX(Tasks[_LeafTotalSlack],Tasks[[#This Row],[_Row]]+1):INDEX(Tasks[_LeafTotalSlack],Tasks[[#This Row],[_Row]]+Tasks[[#This Row],[_Descendants]])),Tasks[[#This Row],[_LeafTotalSlack]]))</f>
        <v/>
      </c>
      <c r="AH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1" s="28" t="str">
        <f aca="false">IF(Tasks[[#This Row],[Task Name]]="","",IF(IF(Tasks[[#This Row],[_IsSummary]],COUNTIF(INDEX(Tasks[_LeafCritical],Tasks[[#This Row],[_Row]]+1):INDEX(Tasks[_LeafCritical],Tasks[[#This Row],[_Row]]+Tasks[[#This Row],[_Descendants]]),TRUE())&gt;0,Tasks[[#This Row],[_LeafCritical]]),"Yes",""))</f>
        <v/>
      </c>
      <c r="AJ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1" s="89"/>
      <c r="AM1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1" s="28" t="str">
        <f aca="false">IF(Tasks[[#This Row],[Task Name]]="","",IF(Tasks[[#This Row],[Progress]]&gt;=1,"Complete",IF(OR(N(Tasks[[#This Row],[Actual Start]])&gt;0,Tasks[[#This Row],[Progress]]&gt;0),IF(Tasks[[#This Row],[Finish Var]]&gt;0,"Behind","In Progress"),IF(Tasks[[#This Row],[Planned Start]]&lt;StatusDate,"Late Start","Not Started"))))</f>
        <v/>
      </c>
      <c r="AO101" s="30"/>
      <c r="AP101" s="89"/>
      <c r="AQ1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1" s="96" t="str">
        <f aca="false">IF(Tasks[[#This Row],[Task Name]]="","",IF(Tasks[[#This Row],[_IsSummary]],SUM(INDEX(Tasks[_LeafTotalWork],Tasks[[#This Row],[_Row]]+1):INDEX(Tasks[_LeafTotalWork],Tasks[[#This Row],[_Row]]+Tasks[[#This Row],[_Descendants]])),Tasks[[#This Row],[_LeafTotalWork]]))</f>
        <v/>
      </c>
      <c r="AT101" s="97" t="str">
        <f aca="false">IF(Tasks[[#This Row],[Task Name]]="","",IF(Tasks[[#This Row],[_IsSummary]],SUM(INDEX(Tasks[_LeafTotalCost],Tasks[[#This Row],[_Row]]+1):INDEX(Tasks[_LeafTotalCost],Tasks[[#This Row],[_Row]]+Tasks[[#This Row],[_Descendants]])),Tasks[[#This Row],[_LeafTotalCost]]))</f>
        <v/>
      </c>
      <c r="AU101" s="98"/>
      <c r="AV101" s="29"/>
      <c r="AW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1" s="83"/>
      <c r="AY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1" s="30"/>
      <c r="BA101" s="25" t="str">
        <f aca="false">IF(Tasks[[#This Row],[Task Name]]="","",Tasks[[#This Row],[Forecast Start]])</f>
        <v/>
      </c>
      <c r="BB101" s="25" t="str">
        <f aca="false">IF(Tasks[[#This Row],[Task Name]]="","",Tasks[[#This Row],[Forecast Finish]])</f>
        <v/>
      </c>
      <c r="BC101" s="28" t="str">
        <f aca="false">IF(Tasks[[#This Row],[Task Name]]="","",IF(Tasks[[#This Row],[_IsSummary]],NETWORKDAYS.INTL(Tasks[[#This Row],[Forecast Start]],Tasks[[#This Row],[Forecast Finish]],WorkWeek,Holidays),N(Tasks[[#This Row],[Duration]])))</f>
        <v/>
      </c>
      <c r="BD101" s="96" t="str">
        <f aca="false">IF(Tasks[[#This Row],[Task Name]]="","",Tasks[[#This Row],[Work]])</f>
        <v/>
      </c>
      <c r="BE101" s="97" t="str">
        <f aca="false">IF(Tasks[[#This Row],[Task Name]]="","",Tasks[[#This Row],[Cost]])</f>
        <v/>
      </c>
      <c r="BF101" s="75"/>
      <c r="BG101" s="75"/>
      <c r="BH101" s="29"/>
      <c r="BI101" s="99"/>
      <c r="BJ101" s="98"/>
      <c r="BK101" s="28" t="str">
        <f aca="false">IF(OR(Tasks[[#This Row],[Task Name]]="",Tasks[[#This Row],[Baseline Duration]]=""),"",Tasks[[#This Row],[BL Source Duration]]-N(Tasks[[#This Row],[Baseline Duration]]))</f>
        <v/>
      </c>
      <c r="BL101" s="96" t="str">
        <f aca="false">IF(OR(Tasks[[#This Row],[Task Name]]="",Tasks[[#This Row],[Baseline Work]]=""),"",Tasks[[#This Row],[Work]]-N(Tasks[[#This Row],[Baseline Work]]))</f>
        <v/>
      </c>
      <c r="BM101" s="97" t="str">
        <f aca="false">IF(OR(Tasks[[#This Row],[Task Name]]="",Tasks[[#This Row],[Baseline Cost]]=""),"",Tasks[[#This Row],[Cost]]-N(Tasks[[#This Row],[Baseline Cost]]))</f>
        <v/>
      </c>
      <c r="BN101" s="97" t="str">
        <f aca="false">IF(Tasks[[#This Row],[Task Name]]="","",IF(Tasks[[#This Row],[_IsSummary]],SUM(INDEX(Tasks[_LeafBudget],Tasks[[#This Row],[_Row]]+1):INDEX(Tasks[_LeafBudget],Tasks[[#This Row],[_Row]]+Tasks[[#This Row],[_Descendants]])),Tasks[[#This Row],[_LeafBudget]]))</f>
        <v/>
      </c>
      <c r="BO101" s="97" t="str">
        <f aca="false">IF(Tasks[[#This Row],[Task Name]]="","",IF(Tasks[[#This Row],[_IsSummary]],SUM(INDEX(Tasks[_LeafPV],Tasks[[#This Row],[_Row]]+1):INDEX(Tasks[_LeafPV],Tasks[[#This Row],[_Row]]+Tasks[[#This Row],[_Descendants]])),Tasks[[#This Row],[_LeafPV]]))</f>
        <v/>
      </c>
      <c r="BP101" s="97" t="str">
        <f aca="false">IF(Tasks[[#This Row],[Task Name]]="","",IF(Tasks[[#This Row],[_IsSummary]],SUM(INDEX(Tasks[_LeafEV],Tasks[[#This Row],[_Row]]+1):INDEX(Tasks[_LeafEV],Tasks[[#This Row],[_Row]]+Tasks[[#This Row],[_Descendants]])),Tasks[[#This Row],[_LeafEV]]))</f>
        <v/>
      </c>
      <c r="BQ101" s="97" t="str">
        <f aca="false">IF(Tasks[[#This Row],[Task Name]]="","",IF(Tasks[[#This Row],[_IsSummary]],SUM(INDEX(Tasks[_LeafAC],Tasks[[#This Row],[_Row]]+1):INDEX(Tasks[_LeafAC],Tasks[[#This Row],[_Row]]+Tasks[[#This Row],[_Descendants]])),Tasks[[#This Row],[_LeafAC]]))</f>
        <v/>
      </c>
      <c r="BR101" s="41" t="str">
        <f aca="false">IF(Tasks[[#This Row],[Task Name]]="","",MAX(1,N(Tasks[[#This Row],[Level]])))</f>
        <v/>
      </c>
      <c r="BS101" s="41" t="n">
        <f aca="false">ROW()-ROW(Tasks[[#Headers],[ID]])</f>
        <v>96</v>
      </c>
      <c r="BT101" s="41" t="n">
        <f aca="false">IF(OR(Tasks[[#This Row],[Task Name]]="",Tasks[[#This Row],[_Level]]&lt;=1),0,IFERROR(LOOKUP(2,1/(Tasks[[#Headers],[_Level]]:Tasks[[#This Row],[_Level]]=Tasks[[#This Row],[_Level]]-1),ROW(Tasks[[#Headers],[_Level]]:Tasks[[#This Row],[_Level]])),0))</f>
        <v>0</v>
      </c>
      <c r="BU101" s="41" t="n">
        <f aca="false">IFERROR(N(INDEX(Tasks[_Level],Tasks[[#This Row],[_Row]]+1)),0)</f>
        <v>0</v>
      </c>
      <c r="BV101" s="100" t="b">
        <f aca="false">AND(Tasks[[#This Row],[Task Name]]&lt;&gt;"",Tasks[[#This Row],[_NextLevel]]&gt;Tasks[[#This Row],[_Level]])</f>
        <v>0</v>
      </c>
      <c r="BW101" s="41" t="n">
        <f aca="false">IF(Tasks[[#This Row],[_IsSummary]],COUNTIF(Tasks[WBS],Tasks[[#This Row],[WBS]]&amp;".*"),0)</f>
        <v>0</v>
      </c>
      <c r="BX101" s="41" t="n">
        <f aca="false">IF(AND(Tasks[[#This Row],[Task Name]]&lt;&gt;"",NOT(Tasks[[#This Row],[_IsSummary]])),1,0)</f>
        <v>0</v>
      </c>
      <c r="BY101" s="41" t="n">
        <f aca="false">IF(N(Tasks[[#This Row],[Pred1 UID]])=0,0,IFERROR(MATCH(Tasks[[#This Row],[Pred1 UID]],Tasks[UID],0),-1))</f>
        <v>0</v>
      </c>
      <c r="BZ101" s="41" t="n">
        <f aca="false">IF(N(Tasks[[#This Row],[Pred2 UID]])=0,0,IFERROR(MATCH(Tasks[[#This Row],[Pred2 UID]],Tasks[UID],0),-1))</f>
        <v>0</v>
      </c>
      <c r="CA101" s="41" t="n">
        <f aca="false">IF(N(Tasks[[#This Row],[Pred3 UID]])=0,0,IFERROR(MATCH(Tasks[[#This Row],[Pred3 UID]],Tasks[UID],0),-1))</f>
        <v>0</v>
      </c>
      <c r="CB101" s="41" t="n">
        <f aca="false">IF(N(Tasks[[#This Row],[Pred4 UID]])=0,0,IFERROR(MATCH(Tasks[[#This Row],[Pred4 UID]],Tasks[UID],0),-1))</f>
        <v>0</v>
      </c>
      <c r="CC1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1" s="101" t="n">
        <f aca="false">IF(OR(Tasks[[#This Row],[_ConstraintCode]]=2,Tasks[[#This Row],[_ConstraintCode]]=3,Tasks[[#This Row],[_ConstraintCode]]=4,Tasks[[#This Row],[_ConstraintCode]]=6),Tasks[[#This Row],[_ConstraintStart]],0)</f>
        <v>0</v>
      </c>
      <c r="CF101" s="101" t="n">
        <f aca="false">IF(OR(Tasks[[#This Row],[_ConstraintCode]]=2,Tasks[[#This Row],[_ConstraintCode]]=3,Tasks[[#This Row],[_ConstraintCode]]=5,Tasks[[#This Row],[_ConstraintCode]]=7),Tasks[[#This Row],[_ConstraintStart]],2958465)</f>
        <v>2958465</v>
      </c>
      <c r="CG10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1" s="101" t="str">
        <f aca="false">IF(NOT(Tasks[[#This Row],[_IsLeaf]]=1),"",IF(N(Tasks[[#This Row],[Duration]])&lt;=0,Tasks[[#This Row],[_LeafCalcStart]],WORKDAY.INTL(Tasks[[#This Row],[_LeafCalcStart]],Tasks[[#This Row],[Duration]]-1,WorkWeek,Holidays)))</f>
        <v/>
      </c>
      <c r="CI10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1" s="41" t="n">
        <f aca="false">IF(NOT(Tasks[[#This Row],[_IsLeaf]]=1),0,IF(N(Tasks[[#This Row],[Actual Finish]])&gt;0,1,MIN(1,N(Tasks[[#This Row],[% Complete]]))))</f>
        <v>0</v>
      </c>
      <c r="CL101" s="41" t="n">
        <f aca="false">IF(OR(NOT(Tasks[[#This Row],[_IsLeaf]]=1),Tasks[[#This Row],[Resource]]=""),0,N(Tasks[[#This Row],[Duration]])*HoursPerDay*IF(Tasks[[#This Row],[Units]]="",DefaultUnits,Tasks[[#This Row],[Units]]))</f>
        <v>0</v>
      </c>
      <c r="CM101" s="41" t="n">
        <f aca="false">IF(Tasks[[#This Row],[_LeafWork]]=0,0,Tasks[[#This Row],[_LeafWork]]*IFERROR(INDEX(res_Rate,MATCH(Tasks[[#This Row],[Resource]],res_Name,0)),0))</f>
        <v>0</v>
      </c>
      <c r="CN101" s="41" t="n">
        <f aca="false">Tasks[[#This Row],[_LeafWork]]+IF(Tasks[[#This Row],[_IsLeaf]]=1,SUMIFS(asg_Work,asg_TaskUID,Tasks[[#This Row],[UID]],asg_Valid,1),0)</f>
        <v>0</v>
      </c>
      <c r="CO101" s="41" t="n">
        <f aca="false">Tasks[[#This Row],[_LeafCost]]+IF(Tasks[[#This Row],[_IsLeaf]]=1,SUMIFS(asg_Cost,asg_TaskUID,Tasks[[#This Row],[UID]],asg_Valid,1),0)</f>
        <v>0</v>
      </c>
      <c r="CP101" s="41" t="n">
        <f aca="false">IF(Tasks[[#This Row],[_LeafTotalCost]]=0,Tasks[[#This Row],[_LeafAC]],Tasks[[#This Row],[_LeafAC]]*Tasks[[#This Row],[_LeafCost]]/Tasks[[#This Row],[_LeafTotalCost]])</f>
        <v>0</v>
      </c>
      <c r="CQ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1" s="41" t="n">
        <f aca="false">IF(NOT(Tasks[[#This Row],[_IsLeaf]]=1),0,MAX(_xlfn.MAXIFS(Tasks[_Row],Tasks[Pred1 UID],Tasks[[#This Row],[UID]]),_xlfn.MAXIFS(Tasks[_Row],Tasks[Pred2 UID],Tasks[[#This Row],[UID]]),_xlfn.MAXIFS(Tasks[_Row],Tasks[Pred3 UID],Tasks[[#This Row],[UID]]),_xlfn.MAXIFS(Tasks[_Row],Tasks[Pred4 UID],Tasks[[#This Row],[UID]])))</f>
        <v>0</v>
      </c>
      <c r="CZ1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1" s="101" t="str">
        <f aca="false">IF(NOT(Tasks[[#This Row],[_IsLeaf]]=1),"",IF(N(Tasks[[#This Row],[Duration]])&lt;=0,Tasks[[#This Row],[_LeafLateFinish]],WORKDAY.INTL(Tasks[[#This Row],[_LeafLateFinish]],-(Tasks[[#This Row],[Duration]]-1),WorkWeek,Holidays)))</f>
        <v/>
      </c>
      <c r="DC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1" s="100" t="b">
        <f aca="false">AND(Tasks[[#This Row],[_IsLeaf]]=1,Tasks[[#This Row],[_LeafProgress]]&lt;1,N(Tasks[[#This Row],[_LeafTotalSlack]])&lt;=CriticalSlackDays)</f>
        <v>0</v>
      </c>
      <c r="DE101" s="41" t="n">
        <f aca="false">IF(AND(Tasks[[#This Row],[_IsLeaf]]=1,Tasks[[#This Row],[_ConstraintCode]]=1,Tasks[[#This Row],[Mode]]&lt;&gt;"Manual",N(Tasks[[#This Row],[Actual Start]])=0),MAX(0,N(Tasks[[#This Row],[Free Slack]])),0)</f>
        <v>0</v>
      </c>
      <c r="DF101" s="101" t="str">
        <f aca="false">IF(NOT(Tasks[[#This Row],[_IsLeaf]]=1),"",IF(Tasks[[#This Row],[_AlapShift]]=0,Tasks[[#This Row],[_LeafCalcStart]],WORKDAY.INTL(Tasks[[#This Row],[_LeafCalcStart]],Tasks[[#This Row],[_AlapShift]],WorkWeek,Holidays)))</f>
        <v/>
      </c>
      <c r="DG101" s="101" t="str">
        <f aca="false">IF(NOT(Tasks[[#This Row],[_IsLeaf]]=1),"",IF(Tasks[[#This Row],[_AlapShift]]=0,Tasks[[#This Row],[_LeafCalcFinish]],WORKDAY.INTL(Tasks[[#This Row],[_LeafCalcFinish]],Tasks[[#This Row],[_AlapShift]],WorkWeek,Holidays)))</f>
        <v/>
      </c>
      <c r="DH101" s="101" t="str">
        <f aca="false">IF(NOT(Tasks[[#This Row],[_IsLeaf]]=1),"",IF(Tasks[[#This Row],[_AlapShift]]=0,Tasks[[#This Row],[_LeafFcstStart]],WORKDAY.INTL(Tasks[[#This Row],[_LeafFcstStart]],Tasks[[#This Row],[_AlapShift]],WorkWeek,Holidays)))</f>
        <v/>
      </c>
      <c r="DI101" s="101" t="str">
        <f aca="false">IF(NOT(Tasks[[#This Row],[_IsLeaf]]=1),"",IF(Tasks[[#This Row],[_AlapShift]]=0,Tasks[[#This Row],[_LeafFcstFinish]],WORKDAY.INTL(Tasks[[#This Row],[_LeafFcstFinish]],Tasks[[#This Row],[_AlapShift]],WorkWeek,Holidays)))</f>
        <v/>
      </c>
      <c r="DJ101" s="101" t="str">
        <f aca="false">IF(Tasks[[#This Row],[Task Name]]="","",IF(Tasks[[#This Row],[_IsSummary]],MIN(INDEX(Tasks[_ShownCalcStart],Tasks[[#This Row],[_Row]]+1):INDEX(Tasks[_ShownCalcStart],Tasks[[#This Row],[_Row]]+Tasks[[#This Row],[_Descendants]])),Tasks[[#This Row],[_ShownCalcStart]]))</f>
        <v/>
      </c>
      <c r="DK101" s="101" t="str">
        <f aca="false">IF(Tasks[[#This Row],[Task Name]]="","",IF(Tasks[[#This Row],[_IsSummary]],MAX(INDEX(Tasks[_ShownCalcFinish],Tasks[[#This Row],[_Row]]+1):INDEX(Tasks[_ShownCalcFinish],Tasks[[#This Row],[_Row]]+Tasks[[#This Row],[_Descendants]])),Tasks[[#This Row],[_ShownCalcFinish]]))</f>
        <v/>
      </c>
      <c r="D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1" s="41" t="n">
        <f aca="false">IF(AND(Tasks[[#This Row],[_IsLeaf]]=1,Tasks[[#This Row],[_LeafTotalWork]]&gt;0),NETWORKDAYS.INTL(ProjectStart,Tasks[[#This Row],[_ShownFcstStart]],WorkWeek,Holidays),0)</f>
        <v>0</v>
      </c>
      <c r="DY101" s="41" t="n">
        <f aca="false">IF(AND(Tasks[[#This Row],[_IsLeaf]]=1,Tasks[[#This Row],[_LeafTotalWork]]&gt;0),MAX(Tasks[[#This Row],[_StartWorkday]],NETWORKDAYS.INTL(ProjectStart,Tasks[[#This Row],[_ShownFcstFinish]],WorkWeek,Holidays)),0)</f>
        <v>0</v>
      </c>
      <c r="DZ101" s="41" t="n">
        <f aca="false">IF(AND(Tasks[[#This Row],[_IsLeaf]]=1,Tasks[[#This Row],[_LeafTotalWork]]&gt;0),Tasks[[#This Row],[_LeafWork]]/(Tasks[[#This Row],[_FinishWorkday]]-Tasks[[#This Row],[_StartWorkday]]+1),0)</f>
        <v>0</v>
      </c>
      <c r="EA101" s="41" t="n">
        <f aca="false">Tasks[[#This Row],[_WorkPerWorkday]]*(Tasks[[#This Row],[_StartWorkday]]-1)</f>
        <v>-0</v>
      </c>
      <c r="EB101" s="41" t="n">
        <f aca="false">IF(Tasks[[#This Row],[_IsLeaf]]=1,MAX(N(Tasks[[#This Row],[Duration]]),0.1),0)</f>
        <v>0</v>
      </c>
      <c r="EC101" s="41" t="n">
        <f aca="false">Tasks[[#This Row],[_WeightDur]]*Tasks[[#This Row],[_LeafProgress]]</f>
        <v>0</v>
      </c>
      <c r="ED1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1" s="41" t="str">
        <f aca="false">IF(AND(Tasks[[#This Row],[_IsLeaf]]=1,N(Tasks[[#This Row],[Duration]])=0,Tasks[[#This Row],[_LeafProgress]]&lt;1),Tasks[[#This Row],[_ShownFcstFinish]]+Tasks[[#This Row],[_Row]]/100000,"")</f>
        <v/>
      </c>
      <c r="EF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1" s="41" t="n">
        <f aca="false">IF(NOT(Tasks[[#This Row],[_IsLeaf]]=1),0,IF(Tasks[[#This Row],[Baseline Cost]]="",Tasks[[#This Row],[_LeafTotalCost]],N(Tasks[[#This Row],[Baseline Cost]])))</f>
        <v>0</v>
      </c>
      <c r="EH101" s="41" t="n">
        <f aca="false">Tasks[[#This Row],[_LeafBudget]]*Tasks[[#This Row],[_PlannedPct]]</f>
        <v>0</v>
      </c>
      <c r="EI101" s="41" t="n">
        <f aca="false">Tasks[[#This Row],[_LeafBudget]]*Tasks[[#This Row],[_LeafProgress]]</f>
        <v>0</v>
      </c>
      <c r="EJ101" s="41" t="n">
        <f aca="false">IF(NOT(Tasks[[#This Row],[_IsLeaf]]=1),0,IF(Tasks[[#This Row],[Actual Cost]]="",Tasks[[#This Row],[_LeafTotalCost]]*Tasks[[#This Row],[_LeafProgress]],N(Tasks[[#This Row],[Actual Cost]])))</f>
        <v>0</v>
      </c>
      <c r="EK101" s="41" t="str">
        <f aca="false">IF(Tasks[[#This Row],[Task Name]]="","",LEFT(Tasks[[#This Row],[WBS]],FIND(".",Tasks[[#This Row],[WBS]]&amp;".")-1))</f>
        <v/>
      </c>
      <c r="EL101" s="41" t="str">
        <f aca="false">IF(AND(Tasks[[#This Row],[Task Name]]&lt;&gt;"",Tasks[[#This Row],[_Level]]=1),Tasks[[#This Row],[_Row]],"")</f>
        <v/>
      </c>
      <c r="EM101" s="41" t="str">
        <f aca="false">IF(AND(Tasks[[#This Row],[_IsLeaf]]=1,N(Tasks[[#This Row],[Duration]])=0),Tasks[[#This Row],[Planned Finish]]+Tasks[[#This Row],[_Row]]/100000,"")</f>
        <v/>
      </c>
      <c r="EN101" s="41" t="str">
        <f aca="false">IF(AND(Tasks[[#This Row],[_IsLeaf]]=1,Tasks[[#This Row],[_LeafProgress]]&lt;1,OR(N(Tasks[[#This Row],[Finish Var]])&gt;0,Tasks[[#This Row],[Status]]="Late Start")),MAX(0,Tasks[[#This Row],[Finish Var]])+1-Tasks[[#This Row],[_Row]]/1000000,"")</f>
        <v/>
      </c>
      <c r="EO101" s="41" t="str">
        <f aca="false">IF(AND(Tasks[[#This Row],[_IsLeaf]]=1,N(Tasks[[#This Row],[Actual Start]])=0,Tasks[[#This Row],[_ShownFcstStart]]&gt;=StatusDate,Tasks[[#This Row],[_ShownFcstStart]]&lt;=LookaheadEnd),Tasks[[#This Row],[_ShownFcstStart]]+Tasks[[#This Row],[_Row]]/100000,"")</f>
        <v/>
      </c>
      <c r="EP101" s="41" t="str">
        <f aca="false">IF(AND(Tasks[[#This Row],[_IsLeaf]]=1,Tasks[[#This Row],[_LeafProgress]]&lt;1,Tasks[[#This Row],[_ShownFcstFinish]]&gt;=StatusDate,Tasks[[#This Row],[_ShownFcstFinish]]&lt;=LookaheadEnd),Tasks[[#This Row],[_ShownFcstFinish]]+Tasks[[#This Row],[_Row]]/100000,"")</f>
        <v/>
      </c>
      <c r="EQ101" s="41" t="str">
        <f aca="false">IF(Tasks[[#This Row],[_LeafCritical]],Tasks[[#This Row],[_ShownFcstStart]]+Tasks[[#This Row],[_Row]]/100000,"")</f>
        <v/>
      </c>
      <c r="ER101" s="41" t="n">
        <f aca="false">Tasks[[#This Row],[_LeafWork]]*Tasks[[#This Row],[_LeafProgress]]</f>
        <v>0</v>
      </c>
      <c r="ES101" s="101" t="str">
        <f aca="false">IF(AND(Tasks[[#This Row],[_IsLeaf]]=1,Tasks[[#This Row],[_LeafProgress]]&gt;=1),IF(N(Tasks[[#This Row],[Actual Finish]])&gt;0,Tasks[[#This Row],[Actual Finish]],Tasks[[#This Row],[_ShownFcstFinish]]),"")</f>
        <v/>
      </c>
      <c r="ET101" s="41" t="n">
        <f aca="false">IF(Tasks[[#This Row],[_IsLeaf]]=1,N(Tasks[[#This Row],[Story Points]]),0)</f>
        <v>0</v>
      </c>
      <c r="EU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29"/>
      <c r="O102" s="29"/>
      <c r="P102" s="29"/>
      <c r="Q102" s="29"/>
      <c r="R102" s="29"/>
      <c r="S102" s="29"/>
      <c r="T102" s="30"/>
      <c r="U102" s="75"/>
      <c r="V102" s="75"/>
      <c r="W102" s="25" t="str">
        <f aca="false">IF(Tasks[[#This Row],[Task Name]]="","",IF(N(Tasks[[#This Row],[Baseline Start]])&gt;0,Tasks[[#This Row],[Baseline Start]],Tasks[[#This Row],[_CalcStart]]))</f>
        <v/>
      </c>
      <c r="X102" s="25" t="str">
        <f aca="false">IF(Tasks[[#This Row],[Task Name]]="","",IF(N(Tasks[[#This Row],[Baseline Finish]])&gt;0,Tasks[[#This Row],[Baseline Finish]],Tasks[[#This Row],[_CalcFinish]]))</f>
        <v/>
      </c>
      <c r="Y102" s="75"/>
      <c r="Z102" s="75"/>
      <c r="AA102" s="25" t="str">
        <f aca="false">IF(Tasks[[#This Row],[Task Name]]="","",IF(Tasks[[#This Row],[_IsSummary]],MIN(INDEX(Tasks[_ShownFcstStart],Tasks[[#This Row],[_Row]]+1):INDEX(Tasks[_ShownFcstStart],Tasks[[#This Row],[_Row]]+Tasks[[#This Row],[_Descendants]])),Tasks[[#This Row],[_ShownFcstStart]]))</f>
        <v/>
      </c>
      <c r="AB102" s="25" t="str">
        <f aca="false">IF(Tasks[[#This Row],[Task Name]]="","",IF(Tasks[[#This Row],[_IsSummary]],MAX(INDEX(Tasks[_ShownFcstFinish],Tasks[[#This Row],[_Row]]+1):INDEX(Tasks[_ShownFcstFinish],Tasks[[#This Row],[_Row]]+Tasks[[#This Row],[_Descendants]])),Tasks[[#This Row],[_ShownFcstFinish]]))</f>
        <v/>
      </c>
      <c r="AC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2" s="25" t="str">
        <f aca="false">IF(Tasks[[#This Row],[Task Name]]="","",IF(Tasks[[#This Row],[_IsSummary]],MIN(INDEX(Tasks[_LeafLateStart],Tasks[[#This Row],[_Row]]+1):INDEX(Tasks[_LeafLateStart],Tasks[[#This Row],[_Row]]+Tasks[[#This Row],[_Descendants]])),Tasks[[#This Row],[_LeafLateStart]]))</f>
        <v/>
      </c>
      <c r="AF102" s="25" t="str">
        <f aca="false">IF(Tasks[[#This Row],[Task Name]]="","",IF(Tasks[[#This Row],[_IsSummary]],MAX(INDEX(Tasks[_LeafLateFinish],Tasks[[#This Row],[_Row]]+1):INDEX(Tasks[_LeafLateFinish],Tasks[[#This Row],[_Row]]+Tasks[[#This Row],[_Descendants]])),Tasks[[#This Row],[_LeafLateFinish]]))</f>
        <v/>
      </c>
      <c r="AG102" s="28" t="str">
        <f aca="false">IF(Tasks[[#This Row],[Task Name]]="","",IF(Tasks[[#This Row],[_IsSummary]],MIN(INDEX(Tasks[_LeafTotalSlack],Tasks[[#This Row],[_Row]]+1):INDEX(Tasks[_LeafTotalSlack],Tasks[[#This Row],[_Row]]+Tasks[[#This Row],[_Descendants]])),Tasks[[#This Row],[_LeafTotalSlack]]))</f>
        <v/>
      </c>
      <c r="AH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2" s="28" t="str">
        <f aca="false">IF(Tasks[[#This Row],[Task Name]]="","",IF(IF(Tasks[[#This Row],[_IsSummary]],COUNTIF(INDEX(Tasks[_LeafCritical],Tasks[[#This Row],[_Row]]+1):INDEX(Tasks[_LeafCritical],Tasks[[#This Row],[_Row]]+Tasks[[#This Row],[_Descendants]]),TRUE())&gt;0,Tasks[[#This Row],[_LeafCritical]]),"Yes",""))</f>
        <v/>
      </c>
      <c r="AJ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2" s="89"/>
      <c r="AM1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2" s="28" t="str">
        <f aca="false">IF(Tasks[[#This Row],[Task Name]]="","",IF(Tasks[[#This Row],[Progress]]&gt;=1,"Complete",IF(OR(N(Tasks[[#This Row],[Actual Start]])&gt;0,Tasks[[#This Row],[Progress]]&gt;0),IF(Tasks[[#This Row],[Finish Var]]&gt;0,"Behind","In Progress"),IF(Tasks[[#This Row],[Planned Start]]&lt;StatusDate,"Late Start","Not Started"))))</f>
        <v/>
      </c>
      <c r="AO102" s="30"/>
      <c r="AP102" s="89"/>
      <c r="AQ1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2" s="96" t="str">
        <f aca="false">IF(Tasks[[#This Row],[Task Name]]="","",IF(Tasks[[#This Row],[_IsSummary]],SUM(INDEX(Tasks[_LeafTotalWork],Tasks[[#This Row],[_Row]]+1):INDEX(Tasks[_LeafTotalWork],Tasks[[#This Row],[_Row]]+Tasks[[#This Row],[_Descendants]])),Tasks[[#This Row],[_LeafTotalWork]]))</f>
        <v/>
      </c>
      <c r="AT102" s="97" t="str">
        <f aca="false">IF(Tasks[[#This Row],[Task Name]]="","",IF(Tasks[[#This Row],[_IsSummary]],SUM(INDEX(Tasks[_LeafTotalCost],Tasks[[#This Row],[_Row]]+1):INDEX(Tasks[_LeafTotalCost],Tasks[[#This Row],[_Row]]+Tasks[[#This Row],[_Descendants]])),Tasks[[#This Row],[_LeafTotalCost]]))</f>
        <v/>
      </c>
      <c r="AU102" s="98"/>
      <c r="AV102" s="29"/>
      <c r="AW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2" s="83"/>
      <c r="AY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2" s="30"/>
      <c r="BA102" s="25" t="str">
        <f aca="false">IF(Tasks[[#This Row],[Task Name]]="","",Tasks[[#This Row],[Forecast Start]])</f>
        <v/>
      </c>
      <c r="BB102" s="25" t="str">
        <f aca="false">IF(Tasks[[#This Row],[Task Name]]="","",Tasks[[#This Row],[Forecast Finish]])</f>
        <v/>
      </c>
      <c r="BC102" s="28" t="str">
        <f aca="false">IF(Tasks[[#This Row],[Task Name]]="","",IF(Tasks[[#This Row],[_IsSummary]],NETWORKDAYS.INTL(Tasks[[#This Row],[Forecast Start]],Tasks[[#This Row],[Forecast Finish]],WorkWeek,Holidays),N(Tasks[[#This Row],[Duration]])))</f>
        <v/>
      </c>
      <c r="BD102" s="96" t="str">
        <f aca="false">IF(Tasks[[#This Row],[Task Name]]="","",Tasks[[#This Row],[Work]])</f>
        <v/>
      </c>
      <c r="BE102" s="97" t="str">
        <f aca="false">IF(Tasks[[#This Row],[Task Name]]="","",Tasks[[#This Row],[Cost]])</f>
        <v/>
      </c>
      <c r="BF102" s="75"/>
      <c r="BG102" s="75"/>
      <c r="BH102" s="29"/>
      <c r="BI102" s="99"/>
      <c r="BJ102" s="98"/>
      <c r="BK102" s="28" t="str">
        <f aca="false">IF(OR(Tasks[[#This Row],[Task Name]]="",Tasks[[#This Row],[Baseline Duration]]=""),"",Tasks[[#This Row],[BL Source Duration]]-N(Tasks[[#This Row],[Baseline Duration]]))</f>
        <v/>
      </c>
      <c r="BL102" s="96" t="str">
        <f aca="false">IF(OR(Tasks[[#This Row],[Task Name]]="",Tasks[[#This Row],[Baseline Work]]=""),"",Tasks[[#This Row],[Work]]-N(Tasks[[#This Row],[Baseline Work]]))</f>
        <v/>
      </c>
      <c r="BM102" s="97" t="str">
        <f aca="false">IF(OR(Tasks[[#This Row],[Task Name]]="",Tasks[[#This Row],[Baseline Cost]]=""),"",Tasks[[#This Row],[Cost]]-N(Tasks[[#This Row],[Baseline Cost]]))</f>
        <v/>
      </c>
      <c r="BN102" s="97" t="str">
        <f aca="false">IF(Tasks[[#This Row],[Task Name]]="","",IF(Tasks[[#This Row],[_IsSummary]],SUM(INDEX(Tasks[_LeafBudget],Tasks[[#This Row],[_Row]]+1):INDEX(Tasks[_LeafBudget],Tasks[[#This Row],[_Row]]+Tasks[[#This Row],[_Descendants]])),Tasks[[#This Row],[_LeafBudget]]))</f>
        <v/>
      </c>
      <c r="BO102" s="97" t="str">
        <f aca="false">IF(Tasks[[#This Row],[Task Name]]="","",IF(Tasks[[#This Row],[_IsSummary]],SUM(INDEX(Tasks[_LeafPV],Tasks[[#This Row],[_Row]]+1):INDEX(Tasks[_LeafPV],Tasks[[#This Row],[_Row]]+Tasks[[#This Row],[_Descendants]])),Tasks[[#This Row],[_LeafPV]]))</f>
        <v/>
      </c>
      <c r="BP102" s="97" t="str">
        <f aca="false">IF(Tasks[[#This Row],[Task Name]]="","",IF(Tasks[[#This Row],[_IsSummary]],SUM(INDEX(Tasks[_LeafEV],Tasks[[#This Row],[_Row]]+1):INDEX(Tasks[_LeafEV],Tasks[[#This Row],[_Row]]+Tasks[[#This Row],[_Descendants]])),Tasks[[#This Row],[_LeafEV]]))</f>
        <v/>
      </c>
      <c r="BQ102" s="97" t="str">
        <f aca="false">IF(Tasks[[#This Row],[Task Name]]="","",IF(Tasks[[#This Row],[_IsSummary]],SUM(INDEX(Tasks[_LeafAC],Tasks[[#This Row],[_Row]]+1):INDEX(Tasks[_LeafAC],Tasks[[#This Row],[_Row]]+Tasks[[#This Row],[_Descendants]])),Tasks[[#This Row],[_LeafAC]]))</f>
        <v/>
      </c>
      <c r="BR102" s="41" t="str">
        <f aca="false">IF(Tasks[[#This Row],[Task Name]]="","",MAX(1,N(Tasks[[#This Row],[Level]])))</f>
        <v/>
      </c>
      <c r="BS102" s="41" t="n">
        <f aca="false">ROW()-ROW(Tasks[[#Headers],[ID]])</f>
        <v>97</v>
      </c>
      <c r="BT102" s="41" t="n">
        <f aca="false">IF(OR(Tasks[[#This Row],[Task Name]]="",Tasks[[#This Row],[_Level]]&lt;=1),0,IFERROR(LOOKUP(2,1/(Tasks[[#Headers],[_Level]]:Tasks[[#This Row],[_Level]]=Tasks[[#This Row],[_Level]]-1),ROW(Tasks[[#Headers],[_Level]]:Tasks[[#This Row],[_Level]])),0))</f>
        <v>0</v>
      </c>
      <c r="BU102" s="41" t="n">
        <f aca="false">IFERROR(N(INDEX(Tasks[_Level],Tasks[[#This Row],[_Row]]+1)),0)</f>
        <v>0</v>
      </c>
      <c r="BV102" s="100" t="b">
        <f aca="false">AND(Tasks[[#This Row],[Task Name]]&lt;&gt;"",Tasks[[#This Row],[_NextLevel]]&gt;Tasks[[#This Row],[_Level]])</f>
        <v>0</v>
      </c>
      <c r="BW102" s="41" t="n">
        <f aca="false">IF(Tasks[[#This Row],[_IsSummary]],COUNTIF(Tasks[WBS],Tasks[[#This Row],[WBS]]&amp;".*"),0)</f>
        <v>0</v>
      </c>
      <c r="BX102" s="41" t="n">
        <f aca="false">IF(AND(Tasks[[#This Row],[Task Name]]&lt;&gt;"",NOT(Tasks[[#This Row],[_IsSummary]])),1,0)</f>
        <v>0</v>
      </c>
      <c r="BY102" s="41" t="n">
        <f aca="false">IF(N(Tasks[[#This Row],[Pred1 UID]])=0,0,IFERROR(MATCH(Tasks[[#This Row],[Pred1 UID]],Tasks[UID],0),-1))</f>
        <v>0</v>
      </c>
      <c r="BZ102" s="41" t="n">
        <f aca="false">IF(N(Tasks[[#This Row],[Pred2 UID]])=0,0,IFERROR(MATCH(Tasks[[#This Row],[Pred2 UID]],Tasks[UID],0),-1))</f>
        <v>0</v>
      </c>
      <c r="CA102" s="41" t="n">
        <f aca="false">IF(N(Tasks[[#This Row],[Pred3 UID]])=0,0,IFERROR(MATCH(Tasks[[#This Row],[Pred3 UID]],Tasks[UID],0),-1))</f>
        <v>0</v>
      </c>
      <c r="CB102" s="41" t="n">
        <f aca="false">IF(N(Tasks[[#This Row],[Pred4 UID]])=0,0,IFERROR(MATCH(Tasks[[#This Row],[Pred4 UID]],Tasks[UID],0),-1))</f>
        <v>0</v>
      </c>
      <c r="CC1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2" s="101" t="n">
        <f aca="false">IF(OR(Tasks[[#This Row],[_ConstraintCode]]=2,Tasks[[#This Row],[_ConstraintCode]]=3,Tasks[[#This Row],[_ConstraintCode]]=4,Tasks[[#This Row],[_ConstraintCode]]=6),Tasks[[#This Row],[_ConstraintStart]],0)</f>
        <v>0</v>
      </c>
      <c r="CF102" s="101" t="n">
        <f aca="false">IF(OR(Tasks[[#This Row],[_ConstraintCode]]=2,Tasks[[#This Row],[_ConstraintCode]]=3,Tasks[[#This Row],[_ConstraintCode]]=5,Tasks[[#This Row],[_ConstraintCode]]=7),Tasks[[#This Row],[_ConstraintStart]],2958465)</f>
        <v>2958465</v>
      </c>
      <c r="CG10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2" s="101" t="str">
        <f aca="false">IF(NOT(Tasks[[#This Row],[_IsLeaf]]=1),"",IF(N(Tasks[[#This Row],[Duration]])&lt;=0,Tasks[[#This Row],[_LeafCalcStart]],WORKDAY.INTL(Tasks[[#This Row],[_LeafCalcStart]],Tasks[[#This Row],[Duration]]-1,WorkWeek,Holidays)))</f>
        <v/>
      </c>
      <c r="CI10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2" s="41" t="n">
        <f aca="false">IF(NOT(Tasks[[#This Row],[_IsLeaf]]=1),0,IF(N(Tasks[[#This Row],[Actual Finish]])&gt;0,1,MIN(1,N(Tasks[[#This Row],[% Complete]]))))</f>
        <v>0</v>
      </c>
      <c r="CL102" s="41" t="n">
        <f aca="false">IF(OR(NOT(Tasks[[#This Row],[_IsLeaf]]=1),Tasks[[#This Row],[Resource]]=""),0,N(Tasks[[#This Row],[Duration]])*HoursPerDay*IF(Tasks[[#This Row],[Units]]="",DefaultUnits,Tasks[[#This Row],[Units]]))</f>
        <v>0</v>
      </c>
      <c r="CM102" s="41" t="n">
        <f aca="false">IF(Tasks[[#This Row],[_LeafWork]]=0,0,Tasks[[#This Row],[_LeafWork]]*IFERROR(INDEX(res_Rate,MATCH(Tasks[[#This Row],[Resource]],res_Name,0)),0))</f>
        <v>0</v>
      </c>
      <c r="CN102" s="41" t="n">
        <f aca="false">Tasks[[#This Row],[_LeafWork]]+IF(Tasks[[#This Row],[_IsLeaf]]=1,SUMIFS(asg_Work,asg_TaskUID,Tasks[[#This Row],[UID]],asg_Valid,1),0)</f>
        <v>0</v>
      </c>
      <c r="CO102" s="41" t="n">
        <f aca="false">Tasks[[#This Row],[_LeafCost]]+IF(Tasks[[#This Row],[_IsLeaf]]=1,SUMIFS(asg_Cost,asg_TaskUID,Tasks[[#This Row],[UID]],asg_Valid,1),0)</f>
        <v>0</v>
      </c>
      <c r="CP102" s="41" t="n">
        <f aca="false">IF(Tasks[[#This Row],[_LeafTotalCost]]=0,Tasks[[#This Row],[_LeafAC]],Tasks[[#This Row],[_LeafAC]]*Tasks[[#This Row],[_LeafCost]]/Tasks[[#This Row],[_LeafTotalCost]])</f>
        <v>0</v>
      </c>
      <c r="CQ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2" s="41" t="n">
        <f aca="false">IF(NOT(Tasks[[#This Row],[_IsLeaf]]=1),0,MAX(_xlfn.MAXIFS(Tasks[_Row],Tasks[Pred1 UID],Tasks[[#This Row],[UID]]),_xlfn.MAXIFS(Tasks[_Row],Tasks[Pred2 UID],Tasks[[#This Row],[UID]]),_xlfn.MAXIFS(Tasks[_Row],Tasks[Pred3 UID],Tasks[[#This Row],[UID]]),_xlfn.MAXIFS(Tasks[_Row],Tasks[Pred4 UID],Tasks[[#This Row],[UID]])))</f>
        <v>0</v>
      </c>
      <c r="CZ1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2" s="101" t="str">
        <f aca="false">IF(NOT(Tasks[[#This Row],[_IsLeaf]]=1),"",IF(N(Tasks[[#This Row],[Duration]])&lt;=0,Tasks[[#This Row],[_LeafLateFinish]],WORKDAY.INTL(Tasks[[#This Row],[_LeafLateFinish]],-(Tasks[[#This Row],[Duration]]-1),WorkWeek,Holidays)))</f>
        <v/>
      </c>
      <c r="DC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2" s="100" t="b">
        <f aca="false">AND(Tasks[[#This Row],[_IsLeaf]]=1,Tasks[[#This Row],[_LeafProgress]]&lt;1,N(Tasks[[#This Row],[_LeafTotalSlack]])&lt;=CriticalSlackDays)</f>
        <v>0</v>
      </c>
      <c r="DE102" s="41" t="n">
        <f aca="false">IF(AND(Tasks[[#This Row],[_IsLeaf]]=1,Tasks[[#This Row],[_ConstraintCode]]=1,Tasks[[#This Row],[Mode]]&lt;&gt;"Manual",N(Tasks[[#This Row],[Actual Start]])=0),MAX(0,N(Tasks[[#This Row],[Free Slack]])),0)</f>
        <v>0</v>
      </c>
      <c r="DF102" s="101" t="str">
        <f aca="false">IF(NOT(Tasks[[#This Row],[_IsLeaf]]=1),"",IF(Tasks[[#This Row],[_AlapShift]]=0,Tasks[[#This Row],[_LeafCalcStart]],WORKDAY.INTL(Tasks[[#This Row],[_LeafCalcStart]],Tasks[[#This Row],[_AlapShift]],WorkWeek,Holidays)))</f>
        <v/>
      </c>
      <c r="DG102" s="101" t="str">
        <f aca="false">IF(NOT(Tasks[[#This Row],[_IsLeaf]]=1),"",IF(Tasks[[#This Row],[_AlapShift]]=0,Tasks[[#This Row],[_LeafCalcFinish]],WORKDAY.INTL(Tasks[[#This Row],[_LeafCalcFinish]],Tasks[[#This Row],[_AlapShift]],WorkWeek,Holidays)))</f>
        <v/>
      </c>
      <c r="DH102" s="101" t="str">
        <f aca="false">IF(NOT(Tasks[[#This Row],[_IsLeaf]]=1),"",IF(Tasks[[#This Row],[_AlapShift]]=0,Tasks[[#This Row],[_LeafFcstStart]],WORKDAY.INTL(Tasks[[#This Row],[_LeafFcstStart]],Tasks[[#This Row],[_AlapShift]],WorkWeek,Holidays)))</f>
        <v/>
      </c>
      <c r="DI102" s="101" t="str">
        <f aca="false">IF(NOT(Tasks[[#This Row],[_IsLeaf]]=1),"",IF(Tasks[[#This Row],[_AlapShift]]=0,Tasks[[#This Row],[_LeafFcstFinish]],WORKDAY.INTL(Tasks[[#This Row],[_LeafFcstFinish]],Tasks[[#This Row],[_AlapShift]],WorkWeek,Holidays)))</f>
        <v/>
      </c>
      <c r="DJ102" s="101" t="str">
        <f aca="false">IF(Tasks[[#This Row],[Task Name]]="","",IF(Tasks[[#This Row],[_IsSummary]],MIN(INDEX(Tasks[_ShownCalcStart],Tasks[[#This Row],[_Row]]+1):INDEX(Tasks[_ShownCalcStart],Tasks[[#This Row],[_Row]]+Tasks[[#This Row],[_Descendants]])),Tasks[[#This Row],[_ShownCalcStart]]))</f>
        <v/>
      </c>
      <c r="DK102" s="101" t="str">
        <f aca="false">IF(Tasks[[#This Row],[Task Name]]="","",IF(Tasks[[#This Row],[_IsSummary]],MAX(INDEX(Tasks[_ShownCalcFinish],Tasks[[#This Row],[_Row]]+1):INDEX(Tasks[_ShownCalcFinish],Tasks[[#This Row],[_Row]]+Tasks[[#This Row],[_Descendants]])),Tasks[[#This Row],[_ShownCalcFinish]]))</f>
        <v/>
      </c>
      <c r="D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2" s="41" t="n">
        <f aca="false">IF(AND(Tasks[[#This Row],[_IsLeaf]]=1,Tasks[[#This Row],[_LeafTotalWork]]&gt;0),NETWORKDAYS.INTL(ProjectStart,Tasks[[#This Row],[_ShownFcstStart]],WorkWeek,Holidays),0)</f>
        <v>0</v>
      </c>
      <c r="DY102" s="41" t="n">
        <f aca="false">IF(AND(Tasks[[#This Row],[_IsLeaf]]=1,Tasks[[#This Row],[_LeafTotalWork]]&gt;0),MAX(Tasks[[#This Row],[_StartWorkday]],NETWORKDAYS.INTL(ProjectStart,Tasks[[#This Row],[_ShownFcstFinish]],WorkWeek,Holidays)),0)</f>
        <v>0</v>
      </c>
      <c r="DZ102" s="41" t="n">
        <f aca="false">IF(AND(Tasks[[#This Row],[_IsLeaf]]=1,Tasks[[#This Row],[_LeafTotalWork]]&gt;0),Tasks[[#This Row],[_LeafWork]]/(Tasks[[#This Row],[_FinishWorkday]]-Tasks[[#This Row],[_StartWorkday]]+1),0)</f>
        <v>0</v>
      </c>
      <c r="EA102" s="41" t="n">
        <f aca="false">Tasks[[#This Row],[_WorkPerWorkday]]*(Tasks[[#This Row],[_StartWorkday]]-1)</f>
        <v>-0</v>
      </c>
      <c r="EB102" s="41" t="n">
        <f aca="false">IF(Tasks[[#This Row],[_IsLeaf]]=1,MAX(N(Tasks[[#This Row],[Duration]]),0.1),0)</f>
        <v>0</v>
      </c>
      <c r="EC102" s="41" t="n">
        <f aca="false">Tasks[[#This Row],[_WeightDur]]*Tasks[[#This Row],[_LeafProgress]]</f>
        <v>0</v>
      </c>
      <c r="ED1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2" s="41" t="str">
        <f aca="false">IF(AND(Tasks[[#This Row],[_IsLeaf]]=1,N(Tasks[[#This Row],[Duration]])=0,Tasks[[#This Row],[_LeafProgress]]&lt;1),Tasks[[#This Row],[_ShownFcstFinish]]+Tasks[[#This Row],[_Row]]/100000,"")</f>
        <v/>
      </c>
      <c r="EF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2" s="41" t="n">
        <f aca="false">IF(NOT(Tasks[[#This Row],[_IsLeaf]]=1),0,IF(Tasks[[#This Row],[Baseline Cost]]="",Tasks[[#This Row],[_LeafTotalCost]],N(Tasks[[#This Row],[Baseline Cost]])))</f>
        <v>0</v>
      </c>
      <c r="EH102" s="41" t="n">
        <f aca="false">Tasks[[#This Row],[_LeafBudget]]*Tasks[[#This Row],[_PlannedPct]]</f>
        <v>0</v>
      </c>
      <c r="EI102" s="41" t="n">
        <f aca="false">Tasks[[#This Row],[_LeafBudget]]*Tasks[[#This Row],[_LeafProgress]]</f>
        <v>0</v>
      </c>
      <c r="EJ102" s="41" t="n">
        <f aca="false">IF(NOT(Tasks[[#This Row],[_IsLeaf]]=1),0,IF(Tasks[[#This Row],[Actual Cost]]="",Tasks[[#This Row],[_LeafTotalCost]]*Tasks[[#This Row],[_LeafProgress]],N(Tasks[[#This Row],[Actual Cost]])))</f>
        <v>0</v>
      </c>
      <c r="EK102" s="41" t="str">
        <f aca="false">IF(Tasks[[#This Row],[Task Name]]="","",LEFT(Tasks[[#This Row],[WBS]],FIND(".",Tasks[[#This Row],[WBS]]&amp;".")-1))</f>
        <v/>
      </c>
      <c r="EL102" s="41" t="str">
        <f aca="false">IF(AND(Tasks[[#This Row],[Task Name]]&lt;&gt;"",Tasks[[#This Row],[_Level]]=1),Tasks[[#This Row],[_Row]],"")</f>
        <v/>
      </c>
      <c r="EM102" s="41" t="str">
        <f aca="false">IF(AND(Tasks[[#This Row],[_IsLeaf]]=1,N(Tasks[[#This Row],[Duration]])=0),Tasks[[#This Row],[Planned Finish]]+Tasks[[#This Row],[_Row]]/100000,"")</f>
        <v/>
      </c>
      <c r="EN102" s="41" t="str">
        <f aca="false">IF(AND(Tasks[[#This Row],[_IsLeaf]]=1,Tasks[[#This Row],[_LeafProgress]]&lt;1,OR(N(Tasks[[#This Row],[Finish Var]])&gt;0,Tasks[[#This Row],[Status]]="Late Start")),MAX(0,Tasks[[#This Row],[Finish Var]])+1-Tasks[[#This Row],[_Row]]/1000000,"")</f>
        <v/>
      </c>
      <c r="EO102" s="41" t="str">
        <f aca="false">IF(AND(Tasks[[#This Row],[_IsLeaf]]=1,N(Tasks[[#This Row],[Actual Start]])=0,Tasks[[#This Row],[_ShownFcstStart]]&gt;=StatusDate,Tasks[[#This Row],[_ShownFcstStart]]&lt;=LookaheadEnd),Tasks[[#This Row],[_ShownFcstStart]]+Tasks[[#This Row],[_Row]]/100000,"")</f>
        <v/>
      </c>
      <c r="EP102" s="41" t="str">
        <f aca="false">IF(AND(Tasks[[#This Row],[_IsLeaf]]=1,Tasks[[#This Row],[_LeafProgress]]&lt;1,Tasks[[#This Row],[_ShownFcstFinish]]&gt;=StatusDate,Tasks[[#This Row],[_ShownFcstFinish]]&lt;=LookaheadEnd),Tasks[[#This Row],[_ShownFcstFinish]]+Tasks[[#This Row],[_Row]]/100000,"")</f>
        <v/>
      </c>
      <c r="EQ102" s="41" t="str">
        <f aca="false">IF(Tasks[[#This Row],[_LeafCritical]],Tasks[[#This Row],[_ShownFcstStart]]+Tasks[[#This Row],[_Row]]/100000,"")</f>
        <v/>
      </c>
      <c r="ER102" s="41" t="n">
        <f aca="false">Tasks[[#This Row],[_LeafWork]]*Tasks[[#This Row],[_LeafProgress]]</f>
        <v>0</v>
      </c>
      <c r="ES102" s="101" t="str">
        <f aca="false">IF(AND(Tasks[[#This Row],[_IsLeaf]]=1,Tasks[[#This Row],[_LeafProgress]]&gt;=1),IF(N(Tasks[[#This Row],[Actual Finish]])&gt;0,Tasks[[#This Row],[Actual Finish]],Tasks[[#This Row],[_ShownFcstFinish]]),"")</f>
        <v/>
      </c>
      <c r="ET102" s="41" t="n">
        <f aca="false">IF(Tasks[[#This Row],[_IsLeaf]]=1,N(Tasks[[#This Row],[Story Points]]),0)</f>
        <v>0</v>
      </c>
      <c r="EU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29"/>
      <c r="O103" s="29"/>
      <c r="P103" s="29"/>
      <c r="Q103" s="29"/>
      <c r="R103" s="29"/>
      <c r="S103" s="29"/>
      <c r="T103" s="30"/>
      <c r="U103" s="75"/>
      <c r="V103" s="75"/>
      <c r="W103" s="25" t="str">
        <f aca="false">IF(Tasks[[#This Row],[Task Name]]="","",IF(N(Tasks[[#This Row],[Baseline Start]])&gt;0,Tasks[[#This Row],[Baseline Start]],Tasks[[#This Row],[_CalcStart]]))</f>
        <v/>
      </c>
      <c r="X103" s="25" t="str">
        <f aca="false">IF(Tasks[[#This Row],[Task Name]]="","",IF(N(Tasks[[#This Row],[Baseline Finish]])&gt;0,Tasks[[#This Row],[Baseline Finish]],Tasks[[#This Row],[_CalcFinish]]))</f>
        <v/>
      </c>
      <c r="Y103" s="75"/>
      <c r="Z103" s="75"/>
      <c r="AA103" s="25" t="str">
        <f aca="false">IF(Tasks[[#This Row],[Task Name]]="","",IF(Tasks[[#This Row],[_IsSummary]],MIN(INDEX(Tasks[_ShownFcstStart],Tasks[[#This Row],[_Row]]+1):INDEX(Tasks[_ShownFcstStart],Tasks[[#This Row],[_Row]]+Tasks[[#This Row],[_Descendants]])),Tasks[[#This Row],[_ShownFcstStart]]))</f>
        <v/>
      </c>
      <c r="AB103" s="25" t="str">
        <f aca="false">IF(Tasks[[#This Row],[Task Name]]="","",IF(Tasks[[#This Row],[_IsSummary]],MAX(INDEX(Tasks[_ShownFcstFinish],Tasks[[#This Row],[_Row]]+1):INDEX(Tasks[_ShownFcstFinish],Tasks[[#This Row],[_Row]]+Tasks[[#This Row],[_Descendants]])),Tasks[[#This Row],[_ShownFcstFinish]]))</f>
        <v/>
      </c>
      <c r="AC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3" s="25" t="str">
        <f aca="false">IF(Tasks[[#This Row],[Task Name]]="","",IF(Tasks[[#This Row],[_IsSummary]],MIN(INDEX(Tasks[_LeafLateStart],Tasks[[#This Row],[_Row]]+1):INDEX(Tasks[_LeafLateStart],Tasks[[#This Row],[_Row]]+Tasks[[#This Row],[_Descendants]])),Tasks[[#This Row],[_LeafLateStart]]))</f>
        <v/>
      </c>
      <c r="AF103" s="25" t="str">
        <f aca="false">IF(Tasks[[#This Row],[Task Name]]="","",IF(Tasks[[#This Row],[_IsSummary]],MAX(INDEX(Tasks[_LeafLateFinish],Tasks[[#This Row],[_Row]]+1):INDEX(Tasks[_LeafLateFinish],Tasks[[#This Row],[_Row]]+Tasks[[#This Row],[_Descendants]])),Tasks[[#This Row],[_LeafLateFinish]]))</f>
        <v/>
      </c>
      <c r="AG103" s="28" t="str">
        <f aca="false">IF(Tasks[[#This Row],[Task Name]]="","",IF(Tasks[[#This Row],[_IsSummary]],MIN(INDEX(Tasks[_LeafTotalSlack],Tasks[[#This Row],[_Row]]+1):INDEX(Tasks[_LeafTotalSlack],Tasks[[#This Row],[_Row]]+Tasks[[#This Row],[_Descendants]])),Tasks[[#This Row],[_LeafTotalSlack]]))</f>
        <v/>
      </c>
      <c r="AH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3" s="28" t="str">
        <f aca="false">IF(Tasks[[#This Row],[Task Name]]="","",IF(IF(Tasks[[#This Row],[_IsSummary]],COUNTIF(INDEX(Tasks[_LeafCritical],Tasks[[#This Row],[_Row]]+1):INDEX(Tasks[_LeafCritical],Tasks[[#This Row],[_Row]]+Tasks[[#This Row],[_Descendants]]),TRUE())&gt;0,Tasks[[#This Row],[_LeafCritical]]),"Yes",""))</f>
        <v/>
      </c>
      <c r="AJ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3" s="89"/>
      <c r="AM1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3" s="28" t="str">
        <f aca="false">IF(Tasks[[#This Row],[Task Name]]="","",IF(Tasks[[#This Row],[Progress]]&gt;=1,"Complete",IF(OR(N(Tasks[[#This Row],[Actual Start]])&gt;0,Tasks[[#This Row],[Progress]]&gt;0),IF(Tasks[[#This Row],[Finish Var]]&gt;0,"Behind","In Progress"),IF(Tasks[[#This Row],[Planned Start]]&lt;StatusDate,"Late Start","Not Started"))))</f>
        <v/>
      </c>
      <c r="AO103" s="30"/>
      <c r="AP103" s="89"/>
      <c r="AQ1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3" s="96" t="str">
        <f aca="false">IF(Tasks[[#This Row],[Task Name]]="","",IF(Tasks[[#This Row],[_IsSummary]],SUM(INDEX(Tasks[_LeafTotalWork],Tasks[[#This Row],[_Row]]+1):INDEX(Tasks[_LeafTotalWork],Tasks[[#This Row],[_Row]]+Tasks[[#This Row],[_Descendants]])),Tasks[[#This Row],[_LeafTotalWork]]))</f>
        <v/>
      </c>
      <c r="AT103" s="97" t="str">
        <f aca="false">IF(Tasks[[#This Row],[Task Name]]="","",IF(Tasks[[#This Row],[_IsSummary]],SUM(INDEX(Tasks[_LeafTotalCost],Tasks[[#This Row],[_Row]]+1):INDEX(Tasks[_LeafTotalCost],Tasks[[#This Row],[_Row]]+Tasks[[#This Row],[_Descendants]])),Tasks[[#This Row],[_LeafTotalCost]]))</f>
        <v/>
      </c>
      <c r="AU103" s="98"/>
      <c r="AV103" s="29"/>
      <c r="AW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3" s="83"/>
      <c r="AY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3" s="30"/>
      <c r="BA103" s="25" t="str">
        <f aca="false">IF(Tasks[[#This Row],[Task Name]]="","",Tasks[[#This Row],[Forecast Start]])</f>
        <v/>
      </c>
      <c r="BB103" s="25" t="str">
        <f aca="false">IF(Tasks[[#This Row],[Task Name]]="","",Tasks[[#This Row],[Forecast Finish]])</f>
        <v/>
      </c>
      <c r="BC103" s="28" t="str">
        <f aca="false">IF(Tasks[[#This Row],[Task Name]]="","",IF(Tasks[[#This Row],[_IsSummary]],NETWORKDAYS.INTL(Tasks[[#This Row],[Forecast Start]],Tasks[[#This Row],[Forecast Finish]],WorkWeek,Holidays),N(Tasks[[#This Row],[Duration]])))</f>
        <v/>
      </c>
      <c r="BD103" s="96" t="str">
        <f aca="false">IF(Tasks[[#This Row],[Task Name]]="","",Tasks[[#This Row],[Work]])</f>
        <v/>
      </c>
      <c r="BE103" s="97" t="str">
        <f aca="false">IF(Tasks[[#This Row],[Task Name]]="","",Tasks[[#This Row],[Cost]])</f>
        <v/>
      </c>
      <c r="BF103" s="75"/>
      <c r="BG103" s="75"/>
      <c r="BH103" s="29"/>
      <c r="BI103" s="99"/>
      <c r="BJ103" s="98"/>
      <c r="BK103" s="28" t="str">
        <f aca="false">IF(OR(Tasks[[#This Row],[Task Name]]="",Tasks[[#This Row],[Baseline Duration]]=""),"",Tasks[[#This Row],[BL Source Duration]]-N(Tasks[[#This Row],[Baseline Duration]]))</f>
        <v/>
      </c>
      <c r="BL103" s="96" t="str">
        <f aca="false">IF(OR(Tasks[[#This Row],[Task Name]]="",Tasks[[#This Row],[Baseline Work]]=""),"",Tasks[[#This Row],[Work]]-N(Tasks[[#This Row],[Baseline Work]]))</f>
        <v/>
      </c>
      <c r="BM103" s="97" t="str">
        <f aca="false">IF(OR(Tasks[[#This Row],[Task Name]]="",Tasks[[#This Row],[Baseline Cost]]=""),"",Tasks[[#This Row],[Cost]]-N(Tasks[[#This Row],[Baseline Cost]]))</f>
        <v/>
      </c>
      <c r="BN103" s="97" t="str">
        <f aca="false">IF(Tasks[[#This Row],[Task Name]]="","",IF(Tasks[[#This Row],[_IsSummary]],SUM(INDEX(Tasks[_LeafBudget],Tasks[[#This Row],[_Row]]+1):INDEX(Tasks[_LeafBudget],Tasks[[#This Row],[_Row]]+Tasks[[#This Row],[_Descendants]])),Tasks[[#This Row],[_LeafBudget]]))</f>
        <v/>
      </c>
      <c r="BO103" s="97" t="str">
        <f aca="false">IF(Tasks[[#This Row],[Task Name]]="","",IF(Tasks[[#This Row],[_IsSummary]],SUM(INDEX(Tasks[_LeafPV],Tasks[[#This Row],[_Row]]+1):INDEX(Tasks[_LeafPV],Tasks[[#This Row],[_Row]]+Tasks[[#This Row],[_Descendants]])),Tasks[[#This Row],[_LeafPV]]))</f>
        <v/>
      </c>
      <c r="BP103" s="97" t="str">
        <f aca="false">IF(Tasks[[#This Row],[Task Name]]="","",IF(Tasks[[#This Row],[_IsSummary]],SUM(INDEX(Tasks[_LeafEV],Tasks[[#This Row],[_Row]]+1):INDEX(Tasks[_LeafEV],Tasks[[#This Row],[_Row]]+Tasks[[#This Row],[_Descendants]])),Tasks[[#This Row],[_LeafEV]]))</f>
        <v/>
      </c>
      <c r="BQ103" s="97" t="str">
        <f aca="false">IF(Tasks[[#This Row],[Task Name]]="","",IF(Tasks[[#This Row],[_IsSummary]],SUM(INDEX(Tasks[_LeafAC],Tasks[[#This Row],[_Row]]+1):INDEX(Tasks[_LeafAC],Tasks[[#This Row],[_Row]]+Tasks[[#This Row],[_Descendants]])),Tasks[[#This Row],[_LeafAC]]))</f>
        <v/>
      </c>
      <c r="BR103" s="41" t="str">
        <f aca="false">IF(Tasks[[#This Row],[Task Name]]="","",MAX(1,N(Tasks[[#This Row],[Level]])))</f>
        <v/>
      </c>
      <c r="BS103" s="41" t="n">
        <f aca="false">ROW()-ROW(Tasks[[#Headers],[ID]])</f>
        <v>98</v>
      </c>
      <c r="BT103" s="41" t="n">
        <f aca="false">IF(OR(Tasks[[#This Row],[Task Name]]="",Tasks[[#This Row],[_Level]]&lt;=1),0,IFERROR(LOOKUP(2,1/(Tasks[[#Headers],[_Level]]:Tasks[[#This Row],[_Level]]=Tasks[[#This Row],[_Level]]-1),ROW(Tasks[[#Headers],[_Level]]:Tasks[[#This Row],[_Level]])),0))</f>
        <v>0</v>
      </c>
      <c r="BU103" s="41" t="n">
        <f aca="false">IFERROR(N(INDEX(Tasks[_Level],Tasks[[#This Row],[_Row]]+1)),0)</f>
        <v>0</v>
      </c>
      <c r="BV103" s="100" t="b">
        <f aca="false">AND(Tasks[[#This Row],[Task Name]]&lt;&gt;"",Tasks[[#This Row],[_NextLevel]]&gt;Tasks[[#This Row],[_Level]])</f>
        <v>0</v>
      </c>
      <c r="BW103" s="41" t="n">
        <f aca="false">IF(Tasks[[#This Row],[_IsSummary]],COUNTIF(Tasks[WBS],Tasks[[#This Row],[WBS]]&amp;".*"),0)</f>
        <v>0</v>
      </c>
      <c r="BX103" s="41" t="n">
        <f aca="false">IF(AND(Tasks[[#This Row],[Task Name]]&lt;&gt;"",NOT(Tasks[[#This Row],[_IsSummary]])),1,0)</f>
        <v>0</v>
      </c>
      <c r="BY103" s="41" t="n">
        <f aca="false">IF(N(Tasks[[#This Row],[Pred1 UID]])=0,0,IFERROR(MATCH(Tasks[[#This Row],[Pred1 UID]],Tasks[UID],0),-1))</f>
        <v>0</v>
      </c>
      <c r="BZ103" s="41" t="n">
        <f aca="false">IF(N(Tasks[[#This Row],[Pred2 UID]])=0,0,IFERROR(MATCH(Tasks[[#This Row],[Pred2 UID]],Tasks[UID],0),-1))</f>
        <v>0</v>
      </c>
      <c r="CA103" s="41" t="n">
        <f aca="false">IF(N(Tasks[[#This Row],[Pred3 UID]])=0,0,IFERROR(MATCH(Tasks[[#This Row],[Pred3 UID]],Tasks[UID],0),-1))</f>
        <v>0</v>
      </c>
      <c r="CB103" s="41" t="n">
        <f aca="false">IF(N(Tasks[[#This Row],[Pred4 UID]])=0,0,IFERROR(MATCH(Tasks[[#This Row],[Pred4 UID]],Tasks[UID],0),-1))</f>
        <v>0</v>
      </c>
      <c r="CC1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3" s="101" t="n">
        <f aca="false">IF(OR(Tasks[[#This Row],[_ConstraintCode]]=2,Tasks[[#This Row],[_ConstraintCode]]=3,Tasks[[#This Row],[_ConstraintCode]]=4,Tasks[[#This Row],[_ConstraintCode]]=6),Tasks[[#This Row],[_ConstraintStart]],0)</f>
        <v>0</v>
      </c>
      <c r="CF103" s="101" t="n">
        <f aca="false">IF(OR(Tasks[[#This Row],[_ConstraintCode]]=2,Tasks[[#This Row],[_ConstraintCode]]=3,Tasks[[#This Row],[_ConstraintCode]]=5,Tasks[[#This Row],[_ConstraintCode]]=7),Tasks[[#This Row],[_ConstraintStart]],2958465)</f>
        <v>2958465</v>
      </c>
      <c r="CG10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3" s="101" t="str">
        <f aca="false">IF(NOT(Tasks[[#This Row],[_IsLeaf]]=1),"",IF(N(Tasks[[#This Row],[Duration]])&lt;=0,Tasks[[#This Row],[_LeafCalcStart]],WORKDAY.INTL(Tasks[[#This Row],[_LeafCalcStart]],Tasks[[#This Row],[Duration]]-1,WorkWeek,Holidays)))</f>
        <v/>
      </c>
      <c r="CI10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3" s="41" t="n">
        <f aca="false">IF(NOT(Tasks[[#This Row],[_IsLeaf]]=1),0,IF(N(Tasks[[#This Row],[Actual Finish]])&gt;0,1,MIN(1,N(Tasks[[#This Row],[% Complete]]))))</f>
        <v>0</v>
      </c>
      <c r="CL103" s="41" t="n">
        <f aca="false">IF(OR(NOT(Tasks[[#This Row],[_IsLeaf]]=1),Tasks[[#This Row],[Resource]]=""),0,N(Tasks[[#This Row],[Duration]])*HoursPerDay*IF(Tasks[[#This Row],[Units]]="",DefaultUnits,Tasks[[#This Row],[Units]]))</f>
        <v>0</v>
      </c>
      <c r="CM103" s="41" t="n">
        <f aca="false">IF(Tasks[[#This Row],[_LeafWork]]=0,0,Tasks[[#This Row],[_LeafWork]]*IFERROR(INDEX(res_Rate,MATCH(Tasks[[#This Row],[Resource]],res_Name,0)),0))</f>
        <v>0</v>
      </c>
      <c r="CN103" s="41" t="n">
        <f aca="false">Tasks[[#This Row],[_LeafWork]]+IF(Tasks[[#This Row],[_IsLeaf]]=1,SUMIFS(asg_Work,asg_TaskUID,Tasks[[#This Row],[UID]],asg_Valid,1),0)</f>
        <v>0</v>
      </c>
      <c r="CO103" s="41" t="n">
        <f aca="false">Tasks[[#This Row],[_LeafCost]]+IF(Tasks[[#This Row],[_IsLeaf]]=1,SUMIFS(asg_Cost,asg_TaskUID,Tasks[[#This Row],[UID]],asg_Valid,1),0)</f>
        <v>0</v>
      </c>
      <c r="CP103" s="41" t="n">
        <f aca="false">IF(Tasks[[#This Row],[_LeafTotalCost]]=0,Tasks[[#This Row],[_LeafAC]],Tasks[[#This Row],[_LeafAC]]*Tasks[[#This Row],[_LeafCost]]/Tasks[[#This Row],[_LeafTotalCost]])</f>
        <v>0</v>
      </c>
      <c r="CQ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3" s="41" t="n">
        <f aca="false">IF(NOT(Tasks[[#This Row],[_IsLeaf]]=1),0,MAX(_xlfn.MAXIFS(Tasks[_Row],Tasks[Pred1 UID],Tasks[[#This Row],[UID]]),_xlfn.MAXIFS(Tasks[_Row],Tasks[Pred2 UID],Tasks[[#This Row],[UID]]),_xlfn.MAXIFS(Tasks[_Row],Tasks[Pred3 UID],Tasks[[#This Row],[UID]]),_xlfn.MAXIFS(Tasks[_Row],Tasks[Pred4 UID],Tasks[[#This Row],[UID]])))</f>
        <v>0</v>
      </c>
      <c r="CZ1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3" s="101" t="str">
        <f aca="false">IF(NOT(Tasks[[#This Row],[_IsLeaf]]=1),"",IF(N(Tasks[[#This Row],[Duration]])&lt;=0,Tasks[[#This Row],[_LeafLateFinish]],WORKDAY.INTL(Tasks[[#This Row],[_LeafLateFinish]],-(Tasks[[#This Row],[Duration]]-1),WorkWeek,Holidays)))</f>
        <v/>
      </c>
      <c r="DC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3" s="100" t="b">
        <f aca="false">AND(Tasks[[#This Row],[_IsLeaf]]=1,Tasks[[#This Row],[_LeafProgress]]&lt;1,N(Tasks[[#This Row],[_LeafTotalSlack]])&lt;=CriticalSlackDays)</f>
        <v>0</v>
      </c>
      <c r="DE103" s="41" t="n">
        <f aca="false">IF(AND(Tasks[[#This Row],[_IsLeaf]]=1,Tasks[[#This Row],[_ConstraintCode]]=1,Tasks[[#This Row],[Mode]]&lt;&gt;"Manual",N(Tasks[[#This Row],[Actual Start]])=0),MAX(0,N(Tasks[[#This Row],[Free Slack]])),0)</f>
        <v>0</v>
      </c>
      <c r="DF103" s="101" t="str">
        <f aca="false">IF(NOT(Tasks[[#This Row],[_IsLeaf]]=1),"",IF(Tasks[[#This Row],[_AlapShift]]=0,Tasks[[#This Row],[_LeafCalcStart]],WORKDAY.INTL(Tasks[[#This Row],[_LeafCalcStart]],Tasks[[#This Row],[_AlapShift]],WorkWeek,Holidays)))</f>
        <v/>
      </c>
      <c r="DG103" s="101" t="str">
        <f aca="false">IF(NOT(Tasks[[#This Row],[_IsLeaf]]=1),"",IF(Tasks[[#This Row],[_AlapShift]]=0,Tasks[[#This Row],[_LeafCalcFinish]],WORKDAY.INTL(Tasks[[#This Row],[_LeafCalcFinish]],Tasks[[#This Row],[_AlapShift]],WorkWeek,Holidays)))</f>
        <v/>
      </c>
      <c r="DH103" s="101" t="str">
        <f aca="false">IF(NOT(Tasks[[#This Row],[_IsLeaf]]=1),"",IF(Tasks[[#This Row],[_AlapShift]]=0,Tasks[[#This Row],[_LeafFcstStart]],WORKDAY.INTL(Tasks[[#This Row],[_LeafFcstStart]],Tasks[[#This Row],[_AlapShift]],WorkWeek,Holidays)))</f>
        <v/>
      </c>
      <c r="DI103" s="101" t="str">
        <f aca="false">IF(NOT(Tasks[[#This Row],[_IsLeaf]]=1),"",IF(Tasks[[#This Row],[_AlapShift]]=0,Tasks[[#This Row],[_LeafFcstFinish]],WORKDAY.INTL(Tasks[[#This Row],[_LeafFcstFinish]],Tasks[[#This Row],[_AlapShift]],WorkWeek,Holidays)))</f>
        <v/>
      </c>
      <c r="DJ103" s="101" t="str">
        <f aca="false">IF(Tasks[[#This Row],[Task Name]]="","",IF(Tasks[[#This Row],[_IsSummary]],MIN(INDEX(Tasks[_ShownCalcStart],Tasks[[#This Row],[_Row]]+1):INDEX(Tasks[_ShownCalcStart],Tasks[[#This Row],[_Row]]+Tasks[[#This Row],[_Descendants]])),Tasks[[#This Row],[_ShownCalcStart]]))</f>
        <v/>
      </c>
      <c r="DK103" s="101" t="str">
        <f aca="false">IF(Tasks[[#This Row],[Task Name]]="","",IF(Tasks[[#This Row],[_IsSummary]],MAX(INDEX(Tasks[_ShownCalcFinish],Tasks[[#This Row],[_Row]]+1):INDEX(Tasks[_ShownCalcFinish],Tasks[[#This Row],[_Row]]+Tasks[[#This Row],[_Descendants]])),Tasks[[#This Row],[_ShownCalcFinish]]))</f>
        <v/>
      </c>
      <c r="D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3" s="41" t="n">
        <f aca="false">IF(AND(Tasks[[#This Row],[_IsLeaf]]=1,Tasks[[#This Row],[_LeafTotalWork]]&gt;0),NETWORKDAYS.INTL(ProjectStart,Tasks[[#This Row],[_ShownFcstStart]],WorkWeek,Holidays),0)</f>
        <v>0</v>
      </c>
      <c r="DY103" s="41" t="n">
        <f aca="false">IF(AND(Tasks[[#This Row],[_IsLeaf]]=1,Tasks[[#This Row],[_LeafTotalWork]]&gt;0),MAX(Tasks[[#This Row],[_StartWorkday]],NETWORKDAYS.INTL(ProjectStart,Tasks[[#This Row],[_ShownFcstFinish]],WorkWeek,Holidays)),0)</f>
        <v>0</v>
      </c>
      <c r="DZ103" s="41" t="n">
        <f aca="false">IF(AND(Tasks[[#This Row],[_IsLeaf]]=1,Tasks[[#This Row],[_LeafTotalWork]]&gt;0),Tasks[[#This Row],[_LeafWork]]/(Tasks[[#This Row],[_FinishWorkday]]-Tasks[[#This Row],[_StartWorkday]]+1),0)</f>
        <v>0</v>
      </c>
      <c r="EA103" s="41" t="n">
        <f aca="false">Tasks[[#This Row],[_WorkPerWorkday]]*(Tasks[[#This Row],[_StartWorkday]]-1)</f>
        <v>-0</v>
      </c>
      <c r="EB103" s="41" t="n">
        <f aca="false">IF(Tasks[[#This Row],[_IsLeaf]]=1,MAX(N(Tasks[[#This Row],[Duration]]),0.1),0)</f>
        <v>0</v>
      </c>
      <c r="EC103" s="41" t="n">
        <f aca="false">Tasks[[#This Row],[_WeightDur]]*Tasks[[#This Row],[_LeafProgress]]</f>
        <v>0</v>
      </c>
      <c r="ED1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3" s="41" t="str">
        <f aca="false">IF(AND(Tasks[[#This Row],[_IsLeaf]]=1,N(Tasks[[#This Row],[Duration]])=0,Tasks[[#This Row],[_LeafProgress]]&lt;1),Tasks[[#This Row],[_ShownFcstFinish]]+Tasks[[#This Row],[_Row]]/100000,"")</f>
        <v/>
      </c>
      <c r="EF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3" s="41" t="n">
        <f aca="false">IF(NOT(Tasks[[#This Row],[_IsLeaf]]=1),0,IF(Tasks[[#This Row],[Baseline Cost]]="",Tasks[[#This Row],[_LeafTotalCost]],N(Tasks[[#This Row],[Baseline Cost]])))</f>
        <v>0</v>
      </c>
      <c r="EH103" s="41" t="n">
        <f aca="false">Tasks[[#This Row],[_LeafBudget]]*Tasks[[#This Row],[_PlannedPct]]</f>
        <v>0</v>
      </c>
      <c r="EI103" s="41" t="n">
        <f aca="false">Tasks[[#This Row],[_LeafBudget]]*Tasks[[#This Row],[_LeafProgress]]</f>
        <v>0</v>
      </c>
      <c r="EJ103" s="41" t="n">
        <f aca="false">IF(NOT(Tasks[[#This Row],[_IsLeaf]]=1),0,IF(Tasks[[#This Row],[Actual Cost]]="",Tasks[[#This Row],[_LeafTotalCost]]*Tasks[[#This Row],[_LeafProgress]],N(Tasks[[#This Row],[Actual Cost]])))</f>
        <v>0</v>
      </c>
      <c r="EK103" s="41" t="str">
        <f aca="false">IF(Tasks[[#This Row],[Task Name]]="","",LEFT(Tasks[[#This Row],[WBS]],FIND(".",Tasks[[#This Row],[WBS]]&amp;".")-1))</f>
        <v/>
      </c>
      <c r="EL103" s="41" t="str">
        <f aca="false">IF(AND(Tasks[[#This Row],[Task Name]]&lt;&gt;"",Tasks[[#This Row],[_Level]]=1),Tasks[[#This Row],[_Row]],"")</f>
        <v/>
      </c>
      <c r="EM103" s="41" t="str">
        <f aca="false">IF(AND(Tasks[[#This Row],[_IsLeaf]]=1,N(Tasks[[#This Row],[Duration]])=0),Tasks[[#This Row],[Planned Finish]]+Tasks[[#This Row],[_Row]]/100000,"")</f>
        <v/>
      </c>
      <c r="EN103" s="41" t="str">
        <f aca="false">IF(AND(Tasks[[#This Row],[_IsLeaf]]=1,Tasks[[#This Row],[_LeafProgress]]&lt;1,OR(N(Tasks[[#This Row],[Finish Var]])&gt;0,Tasks[[#This Row],[Status]]="Late Start")),MAX(0,Tasks[[#This Row],[Finish Var]])+1-Tasks[[#This Row],[_Row]]/1000000,"")</f>
        <v/>
      </c>
      <c r="EO103" s="41" t="str">
        <f aca="false">IF(AND(Tasks[[#This Row],[_IsLeaf]]=1,N(Tasks[[#This Row],[Actual Start]])=0,Tasks[[#This Row],[_ShownFcstStart]]&gt;=StatusDate,Tasks[[#This Row],[_ShownFcstStart]]&lt;=LookaheadEnd),Tasks[[#This Row],[_ShownFcstStart]]+Tasks[[#This Row],[_Row]]/100000,"")</f>
        <v/>
      </c>
      <c r="EP103" s="41" t="str">
        <f aca="false">IF(AND(Tasks[[#This Row],[_IsLeaf]]=1,Tasks[[#This Row],[_LeafProgress]]&lt;1,Tasks[[#This Row],[_ShownFcstFinish]]&gt;=StatusDate,Tasks[[#This Row],[_ShownFcstFinish]]&lt;=LookaheadEnd),Tasks[[#This Row],[_ShownFcstFinish]]+Tasks[[#This Row],[_Row]]/100000,"")</f>
        <v/>
      </c>
      <c r="EQ103" s="41" t="str">
        <f aca="false">IF(Tasks[[#This Row],[_LeafCritical]],Tasks[[#This Row],[_ShownFcstStart]]+Tasks[[#This Row],[_Row]]/100000,"")</f>
        <v/>
      </c>
      <c r="ER103" s="41" t="n">
        <f aca="false">Tasks[[#This Row],[_LeafWork]]*Tasks[[#This Row],[_LeafProgress]]</f>
        <v>0</v>
      </c>
      <c r="ES103" s="101" t="str">
        <f aca="false">IF(AND(Tasks[[#This Row],[_IsLeaf]]=1,Tasks[[#This Row],[_LeafProgress]]&gt;=1),IF(N(Tasks[[#This Row],[Actual Finish]])&gt;0,Tasks[[#This Row],[Actual Finish]],Tasks[[#This Row],[_ShownFcstFinish]]),"")</f>
        <v/>
      </c>
      <c r="ET103" s="41" t="n">
        <f aca="false">IF(Tasks[[#This Row],[_IsLeaf]]=1,N(Tasks[[#This Row],[Story Points]]),0)</f>
        <v>0</v>
      </c>
      <c r="EU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29"/>
      <c r="O104" s="29"/>
      <c r="P104" s="29"/>
      <c r="Q104" s="29"/>
      <c r="R104" s="29"/>
      <c r="S104" s="29"/>
      <c r="T104" s="30"/>
      <c r="U104" s="75"/>
      <c r="V104" s="75"/>
      <c r="W104" s="25" t="str">
        <f aca="false">IF(Tasks[[#This Row],[Task Name]]="","",IF(N(Tasks[[#This Row],[Baseline Start]])&gt;0,Tasks[[#This Row],[Baseline Start]],Tasks[[#This Row],[_CalcStart]]))</f>
        <v/>
      </c>
      <c r="X104" s="25" t="str">
        <f aca="false">IF(Tasks[[#This Row],[Task Name]]="","",IF(N(Tasks[[#This Row],[Baseline Finish]])&gt;0,Tasks[[#This Row],[Baseline Finish]],Tasks[[#This Row],[_CalcFinish]]))</f>
        <v/>
      </c>
      <c r="Y104" s="75"/>
      <c r="Z104" s="75"/>
      <c r="AA104" s="25" t="str">
        <f aca="false">IF(Tasks[[#This Row],[Task Name]]="","",IF(Tasks[[#This Row],[_IsSummary]],MIN(INDEX(Tasks[_ShownFcstStart],Tasks[[#This Row],[_Row]]+1):INDEX(Tasks[_ShownFcstStart],Tasks[[#This Row],[_Row]]+Tasks[[#This Row],[_Descendants]])),Tasks[[#This Row],[_ShownFcstStart]]))</f>
        <v/>
      </c>
      <c r="AB104" s="25" t="str">
        <f aca="false">IF(Tasks[[#This Row],[Task Name]]="","",IF(Tasks[[#This Row],[_IsSummary]],MAX(INDEX(Tasks[_ShownFcstFinish],Tasks[[#This Row],[_Row]]+1):INDEX(Tasks[_ShownFcstFinish],Tasks[[#This Row],[_Row]]+Tasks[[#This Row],[_Descendants]])),Tasks[[#This Row],[_ShownFcstFinish]]))</f>
        <v/>
      </c>
      <c r="AC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4" s="25" t="str">
        <f aca="false">IF(Tasks[[#This Row],[Task Name]]="","",IF(Tasks[[#This Row],[_IsSummary]],MIN(INDEX(Tasks[_LeafLateStart],Tasks[[#This Row],[_Row]]+1):INDEX(Tasks[_LeafLateStart],Tasks[[#This Row],[_Row]]+Tasks[[#This Row],[_Descendants]])),Tasks[[#This Row],[_LeafLateStart]]))</f>
        <v/>
      </c>
      <c r="AF104" s="25" t="str">
        <f aca="false">IF(Tasks[[#This Row],[Task Name]]="","",IF(Tasks[[#This Row],[_IsSummary]],MAX(INDEX(Tasks[_LeafLateFinish],Tasks[[#This Row],[_Row]]+1):INDEX(Tasks[_LeafLateFinish],Tasks[[#This Row],[_Row]]+Tasks[[#This Row],[_Descendants]])),Tasks[[#This Row],[_LeafLateFinish]]))</f>
        <v/>
      </c>
      <c r="AG104" s="28" t="str">
        <f aca="false">IF(Tasks[[#This Row],[Task Name]]="","",IF(Tasks[[#This Row],[_IsSummary]],MIN(INDEX(Tasks[_LeafTotalSlack],Tasks[[#This Row],[_Row]]+1):INDEX(Tasks[_LeafTotalSlack],Tasks[[#This Row],[_Row]]+Tasks[[#This Row],[_Descendants]])),Tasks[[#This Row],[_LeafTotalSlack]]))</f>
        <v/>
      </c>
      <c r="AH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4" s="28" t="str">
        <f aca="false">IF(Tasks[[#This Row],[Task Name]]="","",IF(IF(Tasks[[#This Row],[_IsSummary]],COUNTIF(INDEX(Tasks[_LeafCritical],Tasks[[#This Row],[_Row]]+1):INDEX(Tasks[_LeafCritical],Tasks[[#This Row],[_Row]]+Tasks[[#This Row],[_Descendants]]),TRUE())&gt;0,Tasks[[#This Row],[_LeafCritical]]),"Yes",""))</f>
        <v/>
      </c>
      <c r="AJ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4" s="89"/>
      <c r="AM1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4" s="28" t="str">
        <f aca="false">IF(Tasks[[#This Row],[Task Name]]="","",IF(Tasks[[#This Row],[Progress]]&gt;=1,"Complete",IF(OR(N(Tasks[[#This Row],[Actual Start]])&gt;0,Tasks[[#This Row],[Progress]]&gt;0),IF(Tasks[[#This Row],[Finish Var]]&gt;0,"Behind","In Progress"),IF(Tasks[[#This Row],[Planned Start]]&lt;StatusDate,"Late Start","Not Started"))))</f>
        <v/>
      </c>
      <c r="AO104" s="30"/>
      <c r="AP104" s="89"/>
      <c r="AQ1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4" s="96" t="str">
        <f aca="false">IF(Tasks[[#This Row],[Task Name]]="","",IF(Tasks[[#This Row],[_IsSummary]],SUM(INDEX(Tasks[_LeafTotalWork],Tasks[[#This Row],[_Row]]+1):INDEX(Tasks[_LeafTotalWork],Tasks[[#This Row],[_Row]]+Tasks[[#This Row],[_Descendants]])),Tasks[[#This Row],[_LeafTotalWork]]))</f>
        <v/>
      </c>
      <c r="AT104" s="97" t="str">
        <f aca="false">IF(Tasks[[#This Row],[Task Name]]="","",IF(Tasks[[#This Row],[_IsSummary]],SUM(INDEX(Tasks[_LeafTotalCost],Tasks[[#This Row],[_Row]]+1):INDEX(Tasks[_LeafTotalCost],Tasks[[#This Row],[_Row]]+Tasks[[#This Row],[_Descendants]])),Tasks[[#This Row],[_LeafTotalCost]]))</f>
        <v/>
      </c>
      <c r="AU104" s="98"/>
      <c r="AV104" s="29"/>
      <c r="AW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4" s="83"/>
      <c r="AY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4" s="30"/>
      <c r="BA104" s="25" t="str">
        <f aca="false">IF(Tasks[[#This Row],[Task Name]]="","",Tasks[[#This Row],[Forecast Start]])</f>
        <v/>
      </c>
      <c r="BB104" s="25" t="str">
        <f aca="false">IF(Tasks[[#This Row],[Task Name]]="","",Tasks[[#This Row],[Forecast Finish]])</f>
        <v/>
      </c>
      <c r="BC104" s="28" t="str">
        <f aca="false">IF(Tasks[[#This Row],[Task Name]]="","",IF(Tasks[[#This Row],[_IsSummary]],NETWORKDAYS.INTL(Tasks[[#This Row],[Forecast Start]],Tasks[[#This Row],[Forecast Finish]],WorkWeek,Holidays),N(Tasks[[#This Row],[Duration]])))</f>
        <v/>
      </c>
      <c r="BD104" s="96" t="str">
        <f aca="false">IF(Tasks[[#This Row],[Task Name]]="","",Tasks[[#This Row],[Work]])</f>
        <v/>
      </c>
      <c r="BE104" s="97" t="str">
        <f aca="false">IF(Tasks[[#This Row],[Task Name]]="","",Tasks[[#This Row],[Cost]])</f>
        <v/>
      </c>
      <c r="BF104" s="75"/>
      <c r="BG104" s="75"/>
      <c r="BH104" s="29"/>
      <c r="BI104" s="99"/>
      <c r="BJ104" s="98"/>
      <c r="BK104" s="28" t="str">
        <f aca="false">IF(OR(Tasks[[#This Row],[Task Name]]="",Tasks[[#This Row],[Baseline Duration]]=""),"",Tasks[[#This Row],[BL Source Duration]]-N(Tasks[[#This Row],[Baseline Duration]]))</f>
        <v/>
      </c>
      <c r="BL104" s="96" t="str">
        <f aca="false">IF(OR(Tasks[[#This Row],[Task Name]]="",Tasks[[#This Row],[Baseline Work]]=""),"",Tasks[[#This Row],[Work]]-N(Tasks[[#This Row],[Baseline Work]]))</f>
        <v/>
      </c>
      <c r="BM104" s="97" t="str">
        <f aca="false">IF(OR(Tasks[[#This Row],[Task Name]]="",Tasks[[#This Row],[Baseline Cost]]=""),"",Tasks[[#This Row],[Cost]]-N(Tasks[[#This Row],[Baseline Cost]]))</f>
        <v/>
      </c>
      <c r="BN104" s="97" t="str">
        <f aca="false">IF(Tasks[[#This Row],[Task Name]]="","",IF(Tasks[[#This Row],[_IsSummary]],SUM(INDEX(Tasks[_LeafBudget],Tasks[[#This Row],[_Row]]+1):INDEX(Tasks[_LeafBudget],Tasks[[#This Row],[_Row]]+Tasks[[#This Row],[_Descendants]])),Tasks[[#This Row],[_LeafBudget]]))</f>
        <v/>
      </c>
      <c r="BO104" s="97" t="str">
        <f aca="false">IF(Tasks[[#This Row],[Task Name]]="","",IF(Tasks[[#This Row],[_IsSummary]],SUM(INDEX(Tasks[_LeafPV],Tasks[[#This Row],[_Row]]+1):INDEX(Tasks[_LeafPV],Tasks[[#This Row],[_Row]]+Tasks[[#This Row],[_Descendants]])),Tasks[[#This Row],[_LeafPV]]))</f>
        <v/>
      </c>
      <c r="BP104" s="97" t="str">
        <f aca="false">IF(Tasks[[#This Row],[Task Name]]="","",IF(Tasks[[#This Row],[_IsSummary]],SUM(INDEX(Tasks[_LeafEV],Tasks[[#This Row],[_Row]]+1):INDEX(Tasks[_LeafEV],Tasks[[#This Row],[_Row]]+Tasks[[#This Row],[_Descendants]])),Tasks[[#This Row],[_LeafEV]]))</f>
        <v/>
      </c>
      <c r="BQ104" s="97" t="str">
        <f aca="false">IF(Tasks[[#This Row],[Task Name]]="","",IF(Tasks[[#This Row],[_IsSummary]],SUM(INDEX(Tasks[_LeafAC],Tasks[[#This Row],[_Row]]+1):INDEX(Tasks[_LeafAC],Tasks[[#This Row],[_Row]]+Tasks[[#This Row],[_Descendants]])),Tasks[[#This Row],[_LeafAC]]))</f>
        <v/>
      </c>
      <c r="BR104" s="41" t="str">
        <f aca="false">IF(Tasks[[#This Row],[Task Name]]="","",MAX(1,N(Tasks[[#This Row],[Level]])))</f>
        <v/>
      </c>
      <c r="BS104" s="41" t="n">
        <f aca="false">ROW()-ROW(Tasks[[#Headers],[ID]])</f>
        <v>99</v>
      </c>
      <c r="BT104" s="41" t="n">
        <f aca="false">IF(OR(Tasks[[#This Row],[Task Name]]="",Tasks[[#This Row],[_Level]]&lt;=1),0,IFERROR(LOOKUP(2,1/(Tasks[[#Headers],[_Level]]:Tasks[[#This Row],[_Level]]=Tasks[[#This Row],[_Level]]-1),ROW(Tasks[[#Headers],[_Level]]:Tasks[[#This Row],[_Level]])),0))</f>
        <v>0</v>
      </c>
      <c r="BU104" s="41" t="n">
        <f aca="false">IFERROR(N(INDEX(Tasks[_Level],Tasks[[#This Row],[_Row]]+1)),0)</f>
        <v>0</v>
      </c>
      <c r="BV104" s="100" t="b">
        <f aca="false">AND(Tasks[[#This Row],[Task Name]]&lt;&gt;"",Tasks[[#This Row],[_NextLevel]]&gt;Tasks[[#This Row],[_Level]])</f>
        <v>0</v>
      </c>
      <c r="BW104" s="41" t="n">
        <f aca="false">IF(Tasks[[#This Row],[_IsSummary]],COUNTIF(Tasks[WBS],Tasks[[#This Row],[WBS]]&amp;".*"),0)</f>
        <v>0</v>
      </c>
      <c r="BX104" s="41" t="n">
        <f aca="false">IF(AND(Tasks[[#This Row],[Task Name]]&lt;&gt;"",NOT(Tasks[[#This Row],[_IsSummary]])),1,0)</f>
        <v>0</v>
      </c>
      <c r="BY104" s="41" t="n">
        <f aca="false">IF(N(Tasks[[#This Row],[Pred1 UID]])=0,0,IFERROR(MATCH(Tasks[[#This Row],[Pred1 UID]],Tasks[UID],0),-1))</f>
        <v>0</v>
      </c>
      <c r="BZ104" s="41" t="n">
        <f aca="false">IF(N(Tasks[[#This Row],[Pred2 UID]])=0,0,IFERROR(MATCH(Tasks[[#This Row],[Pred2 UID]],Tasks[UID],0),-1))</f>
        <v>0</v>
      </c>
      <c r="CA104" s="41" t="n">
        <f aca="false">IF(N(Tasks[[#This Row],[Pred3 UID]])=0,0,IFERROR(MATCH(Tasks[[#This Row],[Pred3 UID]],Tasks[UID],0),-1))</f>
        <v>0</v>
      </c>
      <c r="CB104" s="41" t="n">
        <f aca="false">IF(N(Tasks[[#This Row],[Pred4 UID]])=0,0,IFERROR(MATCH(Tasks[[#This Row],[Pred4 UID]],Tasks[UID],0),-1))</f>
        <v>0</v>
      </c>
      <c r="CC1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4" s="101" t="n">
        <f aca="false">IF(OR(Tasks[[#This Row],[_ConstraintCode]]=2,Tasks[[#This Row],[_ConstraintCode]]=3,Tasks[[#This Row],[_ConstraintCode]]=4,Tasks[[#This Row],[_ConstraintCode]]=6),Tasks[[#This Row],[_ConstraintStart]],0)</f>
        <v>0</v>
      </c>
      <c r="CF104" s="101" t="n">
        <f aca="false">IF(OR(Tasks[[#This Row],[_ConstraintCode]]=2,Tasks[[#This Row],[_ConstraintCode]]=3,Tasks[[#This Row],[_ConstraintCode]]=5,Tasks[[#This Row],[_ConstraintCode]]=7),Tasks[[#This Row],[_ConstraintStart]],2958465)</f>
        <v>2958465</v>
      </c>
      <c r="CG10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4" s="101" t="str">
        <f aca="false">IF(NOT(Tasks[[#This Row],[_IsLeaf]]=1),"",IF(N(Tasks[[#This Row],[Duration]])&lt;=0,Tasks[[#This Row],[_LeafCalcStart]],WORKDAY.INTL(Tasks[[#This Row],[_LeafCalcStart]],Tasks[[#This Row],[Duration]]-1,WorkWeek,Holidays)))</f>
        <v/>
      </c>
      <c r="CI10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4" s="41" t="n">
        <f aca="false">IF(NOT(Tasks[[#This Row],[_IsLeaf]]=1),0,IF(N(Tasks[[#This Row],[Actual Finish]])&gt;0,1,MIN(1,N(Tasks[[#This Row],[% Complete]]))))</f>
        <v>0</v>
      </c>
      <c r="CL104" s="41" t="n">
        <f aca="false">IF(OR(NOT(Tasks[[#This Row],[_IsLeaf]]=1),Tasks[[#This Row],[Resource]]=""),0,N(Tasks[[#This Row],[Duration]])*HoursPerDay*IF(Tasks[[#This Row],[Units]]="",DefaultUnits,Tasks[[#This Row],[Units]]))</f>
        <v>0</v>
      </c>
      <c r="CM104" s="41" t="n">
        <f aca="false">IF(Tasks[[#This Row],[_LeafWork]]=0,0,Tasks[[#This Row],[_LeafWork]]*IFERROR(INDEX(res_Rate,MATCH(Tasks[[#This Row],[Resource]],res_Name,0)),0))</f>
        <v>0</v>
      </c>
      <c r="CN104" s="41" t="n">
        <f aca="false">Tasks[[#This Row],[_LeafWork]]+IF(Tasks[[#This Row],[_IsLeaf]]=1,SUMIFS(asg_Work,asg_TaskUID,Tasks[[#This Row],[UID]],asg_Valid,1),0)</f>
        <v>0</v>
      </c>
      <c r="CO104" s="41" t="n">
        <f aca="false">Tasks[[#This Row],[_LeafCost]]+IF(Tasks[[#This Row],[_IsLeaf]]=1,SUMIFS(asg_Cost,asg_TaskUID,Tasks[[#This Row],[UID]],asg_Valid,1),0)</f>
        <v>0</v>
      </c>
      <c r="CP104" s="41" t="n">
        <f aca="false">IF(Tasks[[#This Row],[_LeafTotalCost]]=0,Tasks[[#This Row],[_LeafAC]],Tasks[[#This Row],[_LeafAC]]*Tasks[[#This Row],[_LeafCost]]/Tasks[[#This Row],[_LeafTotalCost]])</f>
        <v>0</v>
      </c>
      <c r="CQ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4" s="41" t="n">
        <f aca="false">IF(NOT(Tasks[[#This Row],[_IsLeaf]]=1),0,MAX(_xlfn.MAXIFS(Tasks[_Row],Tasks[Pred1 UID],Tasks[[#This Row],[UID]]),_xlfn.MAXIFS(Tasks[_Row],Tasks[Pred2 UID],Tasks[[#This Row],[UID]]),_xlfn.MAXIFS(Tasks[_Row],Tasks[Pred3 UID],Tasks[[#This Row],[UID]]),_xlfn.MAXIFS(Tasks[_Row],Tasks[Pred4 UID],Tasks[[#This Row],[UID]])))</f>
        <v>0</v>
      </c>
      <c r="CZ1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4" s="101" t="str">
        <f aca="false">IF(NOT(Tasks[[#This Row],[_IsLeaf]]=1),"",IF(N(Tasks[[#This Row],[Duration]])&lt;=0,Tasks[[#This Row],[_LeafLateFinish]],WORKDAY.INTL(Tasks[[#This Row],[_LeafLateFinish]],-(Tasks[[#This Row],[Duration]]-1),WorkWeek,Holidays)))</f>
        <v/>
      </c>
      <c r="DC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4" s="100" t="b">
        <f aca="false">AND(Tasks[[#This Row],[_IsLeaf]]=1,Tasks[[#This Row],[_LeafProgress]]&lt;1,N(Tasks[[#This Row],[_LeafTotalSlack]])&lt;=CriticalSlackDays)</f>
        <v>0</v>
      </c>
      <c r="DE104" s="41" t="n">
        <f aca="false">IF(AND(Tasks[[#This Row],[_IsLeaf]]=1,Tasks[[#This Row],[_ConstraintCode]]=1,Tasks[[#This Row],[Mode]]&lt;&gt;"Manual",N(Tasks[[#This Row],[Actual Start]])=0),MAX(0,N(Tasks[[#This Row],[Free Slack]])),0)</f>
        <v>0</v>
      </c>
      <c r="DF104" s="101" t="str">
        <f aca="false">IF(NOT(Tasks[[#This Row],[_IsLeaf]]=1),"",IF(Tasks[[#This Row],[_AlapShift]]=0,Tasks[[#This Row],[_LeafCalcStart]],WORKDAY.INTL(Tasks[[#This Row],[_LeafCalcStart]],Tasks[[#This Row],[_AlapShift]],WorkWeek,Holidays)))</f>
        <v/>
      </c>
      <c r="DG104" s="101" t="str">
        <f aca="false">IF(NOT(Tasks[[#This Row],[_IsLeaf]]=1),"",IF(Tasks[[#This Row],[_AlapShift]]=0,Tasks[[#This Row],[_LeafCalcFinish]],WORKDAY.INTL(Tasks[[#This Row],[_LeafCalcFinish]],Tasks[[#This Row],[_AlapShift]],WorkWeek,Holidays)))</f>
        <v/>
      </c>
      <c r="DH104" s="101" t="str">
        <f aca="false">IF(NOT(Tasks[[#This Row],[_IsLeaf]]=1),"",IF(Tasks[[#This Row],[_AlapShift]]=0,Tasks[[#This Row],[_LeafFcstStart]],WORKDAY.INTL(Tasks[[#This Row],[_LeafFcstStart]],Tasks[[#This Row],[_AlapShift]],WorkWeek,Holidays)))</f>
        <v/>
      </c>
      <c r="DI104" s="101" t="str">
        <f aca="false">IF(NOT(Tasks[[#This Row],[_IsLeaf]]=1),"",IF(Tasks[[#This Row],[_AlapShift]]=0,Tasks[[#This Row],[_LeafFcstFinish]],WORKDAY.INTL(Tasks[[#This Row],[_LeafFcstFinish]],Tasks[[#This Row],[_AlapShift]],WorkWeek,Holidays)))</f>
        <v/>
      </c>
      <c r="DJ104" s="101" t="str">
        <f aca="false">IF(Tasks[[#This Row],[Task Name]]="","",IF(Tasks[[#This Row],[_IsSummary]],MIN(INDEX(Tasks[_ShownCalcStart],Tasks[[#This Row],[_Row]]+1):INDEX(Tasks[_ShownCalcStart],Tasks[[#This Row],[_Row]]+Tasks[[#This Row],[_Descendants]])),Tasks[[#This Row],[_ShownCalcStart]]))</f>
        <v/>
      </c>
      <c r="DK104" s="101" t="str">
        <f aca="false">IF(Tasks[[#This Row],[Task Name]]="","",IF(Tasks[[#This Row],[_IsSummary]],MAX(INDEX(Tasks[_ShownCalcFinish],Tasks[[#This Row],[_Row]]+1):INDEX(Tasks[_ShownCalcFinish],Tasks[[#This Row],[_Row]]+Tasks[[#This Row],[_Descendants]])),Tasks[[#This Row],[_ShownCalcFinish]]))</f>
        <v/>
      </c>
      <c r="D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4" s="41" t="n">
        <f aca="false">IF(AND(Tasks[[#This Row],[_IsLeaf]]=1,Tasks[[#This Row],[_LeafTotalWork]]&gt;0),NETWORKDAYS.INTL(ProjectStart,Tasks[[#This Row],[_ShownFcstStart]],WorkWeek,Holidays),0)</f>
        <v>0</v>
      </c>
      <c r="DY104" s="41" t="n">
        <f aca="false">IF(AND(Tasks[[#This Row],[_IsLeaf]]=1,Tasks[[#This Row],[_LeafTotalWork]]&gt;0),MAX(Tasks[[#This Row],[_StartWorkday]],NETWORKDAYS.INTL(ProjectStart,Tasks[[#This Row],[_ShownFcstFinish]],WorkWeek,Holidays)),0)</f>
        <v>0</v>
      </c>
      <c r="DZ104" s="41" t="n">
        <f aca="false">IF(AND(Tasks[[#This Row],[_IsLeaf]]=1,Tasks[[#This Row],[_LeafTotalWork]]&gt;0),Tasks[[#This Row],[_LeafWork]]/(Tasks[[#This Row],[_FinishWorkday]]-Tasks[[#This Row],[_StartWorkday]]+1),0)</f>
        <v>0</v>
      </c>
      <c r="EA104" s="41" t="n">
        <f aca="false">Tasks[[#This Row],[_WorkPerWorkday]]*(Tasks[[#This Row],[_StartWorkday]]-1)</f>
        <v>-0</v>
      </c>
      <c r="EB104" s="41" t="n">
        <f aca="false">IF(Tasks[[#This Row],[_IsLeaf]]=1,MAX(N(Tasks[[#This Row],[Duration]]),0.1),0)</f>
        <v>0</v>
      </c>
      <c r="EC104" s="41" t="n">
        <f aca="false">Tasks[[#This Row],[_WeightDur]]*Tasks[[#This Row],[_LeafProgress]]</f>
        <v>0</v>
      </c>
      <c r="ED1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4" s="41" t="str">
        <f aca="false">IF(AND(Tasks[[#This Row],[_IsLeaf]]=1,N(Tasks[[#This Row],[Duration]])=0,Tasks[[#This Row],[_LeafProgress]]&lt;1),Tasks[[#This Row],[_ShownFcstFinish]]+Tasks[[#This Row],[_Row]]/100000,"")</f>
        <v/>
      </c>
      <c r="EF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4" s="41" t="n">
        <f aca="false">IF(NOT(Tasks[[#This Row],[_IsLeaf]]=1),0,IF(Tasks[[#This Row],[Baseline Cost]]="",Tasks[[#This Row],[_LeafTotalCost]],N(Tasks[[#This Row],[Baseline Cost]])))</f>
        <v>0</v>
      </c>
      <c r="EH104" s="41" t="n">
        <f aca="false">Tasks[[#This Row],[_LeafBudget]]*Tasks[[#This Row],[_PlannedPct]]</f>
        <v>0</v>
      </c>
      <c r="EI104" s="41" t="n">
        <f aca="false">Tasks[[#This Row],[_LeafBudget]]*Tasks[[#This Row],[_LeafProgress]]</f>
        <v>0</v>
      </c>
      <c r="EJ104" s="41" t="n">
        <f aca="false">IF(NOT(Tasks[[#This Row],[_IsLeaf]]=1),0,IF(Tasks[[#This Row],[Actual Cost]]="",Tasks[[#This Row],[_LeafTotalCost]]*Tasks[[#This Row],[_LeafProgress]],N(Tasks[[#This Row],[Actual Cost]])))</f>
        <v>0</v>
      </c>
      <c r="EK104" s="41" t="str">
        <f aca="false">IF(Tasks[[#This Row],[Task Name]]="","",LEFT(Tasks[[#This Row],[WBS]],FIND(".",Tasks[[#This Row],[WBS]]&amp;".")-1))</f>
        <v/>
      </c>
      <c r="EL104" s="41" t="str">
        <f aca="false">IF(AND(Tasks[[#This Row],[Task Name]]&lt;&gt;"",Tasks[[#This Row],[_Level]]=1),Tasks[[#This Row],[_Row]],"")</f>
        <v/>
      </c>
      <c r="EM104" s="41" t="str">
        <f aca="false">IF(AND(Tasks[[#This Row],[_IsLeaf]]=1,N(Tasks[[#This Row],[Duration]])=0),Tasks[[#This Row],[Planned Finish]]+Tasks[[#This Row],[_Row]]/100000,"")</f>
        <v/>
      </c>
      <c r="EN104" s="41" t="str">
        <f aca="false">IF(AND(Tasks[[#This Row],[_IsLeaf]]=1,Tasks[[#This Row],[_LeafProgress]]&lt;1,OR(N(Tasks[[#This Row],[Finish Var]])&gt;0,Tasks[[#This Row],[Status]]="Late Start")),MAX(0,Tasks[[#This Row],[Finish Var]])+1-Tasks[[#This Row],[_Row]]/1000000,"")</f>
        <v/>
      </c>
      <c r="EO104" s="41" t="str">
        <f aca="false">IF(AND(Tasks[[#This Row],[_IsLeaf]]=1,N(Tasks[[#This Row],[Actual Start]])=0,Tasks[[#This Row],[_ShownFcstStart]]&gt;=StatusDate,Tasks[[#This Row],[_ShownFcstStart]]&lt;=LookaheadEnd),Tasks[[#This Row],[_ShownFcstStart]]+Tasks[[#This Row],[_Row]]/100000,"")</f>
        <v/>
      </c>
      <c r="EP104" s="41" t="str">
        <f aca="false">IF(AND(Tasks[[#This Row],[_IsLeaf]]=1,Tasks[[#This Row],[_LeafProgress]]&lt;1,Tasks[[#This Row],[_ShownFcstFinish]]&gt;=StatusDate,Tasks[[#This Row],[_ShownFcstFinish]]&lt;=LookaheadEnd),Tasks[[#This Row],[_ShownFcstFinish]]+Tasks[[#This Row],[_Row]]/100000,"")</f>
        <v/>
      </c>
      <c r="EQ104" s="41" t="str">
        <f aca="false">IF(Tasks[[#This Row],[_LeafCritical]],Tasks[[#This Row],[_ShownFcstStart]]+Tasks[[#This Row],[_Row]]/100000,"")</f>
        <v/>
      </c>
      <c r="ER104" s="41" t="n">
        <f aca="false">Tasks[[#This Row],[_LeafWork]]*Tasks[[#This Row],[_LeafProgress]]</f>
        <v>0</v>
      </c>
      <c r="ES104" s="101" t="str">
        <f aca="false">IF(AND(Tasks[[#This Row],[_IsLeaf]]=1,Tasks[[#This Row],[_LeafProgress]]&gt;=1),IF(N(Tasks[[#This Row],[Actual Finish]])&gt;0,Tasks[[#This Row],[Actual Finish]],Tasks[[#This Row],[_ShownFcstFinish]]),"")</f>
        <v/>
      </c>
      <c r="ET104" s="41" t="n">
        <f aca="false">IF(Tasks[[#This Row],[_IsLeaf]]=1,N(Tasks[[#This Row],[Story Points]]),0)</f>
        <v>0</v>
      </c>
      <c r="EU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29"/>
      <c r="O105" s="29"/>
      <c r="P105" s="29"/>
      <c r="Q105" s="29"/>
      <c r="R105" s="29"/>
      <c r="S105" s="29"/>
      <c r="T105" s="30"/>
      <c r="U105" s="75"/>
      <c r="V105" s="75"/>
      <c r="W105" s="25" t="str">
        <f aca="false">IF(Tasks[[#This Row],[Task Name]]="","",IF(N(Tasks[[#This Row],[Baseline Start]])&gt;0,Tasks[[#This Row],[Baseline Start]],Tasks[[#This Row],[_CalcStart]]))</f>
        <v/>
      </c>
      <c r="X105" s="25" t="str">
        <f aca="false">IF(Tasks[[#This Row],[Task Name]]="","",IF(N(Tasks[[#This Row],[Baseline Finish]])&gt;0,Tasks[[#This Row],[Baseline Finish]],Tasks[[#This Row],[_CalcFinish]]))</f>
        <v/>
      </c>
      <c r="Y105" s="75"/>
      <c r="Z105" s="75"/>
      <c r="AA105" s="25" t="str">
        <f aca="false">IF(Tasks[[#This Row],[Task Name]]="","",IF(Tasks[[#This Row],[_IsSummary]],MIN(INDEX(Tasks[_ShownFcstStart],Tasks[[#This Row],[_Row]]+1):INDEX(Tasks[_ShownFcstStart],Tasks[[#This Row],[_Row]]+Tasks[[#This Row],[_Descendants]])),Tasks[[#This Row],[_ShownFcstStart]]))</f>
        <v/>
      </c>
      <c r="AB105" s="25" t="str">
        <f aca="false">IF(Tasks[[#This Row],[Task Name]]="","",IF(Tasks[[#This Row],[_IsSummary]],MAX(INDEX(Tasks[_ShownFcstFinish],Tasks[[#This Row],[_Row]]+1):INDEX(Tasks[_ShownFcstFinish],Tasks[[#This Row],[_Row]]+Tasks[[#This Row],[_Descendants]])),Tasks[[#This Row],[_ShownFcstFinish]]))</f>
        <v/>
      </c>
      <c r="AC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5" s="25" t="str">
        <f aca="false">IF(Tasks[[#This Row],[Task Name]]="","",IF(Tasks[[#This Row],[_IsSummary]],MIN(INDEX(Tasks[_LeafLateStart],Tasks[[#This Row],[_Row]]+1):INDEX(Tasks[_LeafLateStart],Tasks[[#This Row],[_Row]]+Tasks[[#This Row],[_Descendants]])),Tasks[[#This Row],[_LeafLateStart]]))</f>
        <v/>
      </c>
      <c r="AF105" s="25" t="str">
        <f aca="false">IF(Tasks[[#This Row],[Task Name]]="","",IF(Tasks[[#This Row],[_IsSummary]],MAX(INDEX(Tasks[_LeafLateFinish],Tasks[[#This Row],[_Row]]+1):INDEX(Tasks[_LeafLateFinish],Tasks[[#This Row],[_Row]]+Tasks[[#This Row],[_Descendants]])),Tasks[[#This Row],[_LeafLateFinish]]))</f>
        <v/>
      </c>
      <c r="AG105" s="28" t="str">
        <f aca="false">IF(Tasks[[#This Row],[Task Name]]="","",IF(Tasks[[#This Row],[_IsSummary]],MIN(INDEX(Tasks[_LeafTotalSlack],Tasks[[#This Row],[_Row]]+1):INDEX(Tasks[_LeafTotalSlack],Tasks[[#This Row],[_Row]]+Tasks[[#This Row],[_Descendants]])),Tasks[[#This Row],[_LeafTotalSlack]]))</f>
        <v/>
      </c>
      <c r="AH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5" s="28" t="str">
        <f aca="false">IF(Tasks[[#This Row],[Task Name]]="","",IF(IF(Tasks[[#This Row],[_IsSummary]],COUNTIF(INDEX(Tasks[_LeafCritical],Tasks[[#This Row],[_Row]]+1):INDEX(Tasks[_LeafCritical],Tasks[[#This Row],[_Row]]+Tasks[[#This Row],[_Descendants]]),TRUE())&gt;0,Tasks[[#This Row],[_LeafCritical]]),"Yes",""))</f>
        <v/>
      </c>
      <c r="AJ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5" s="89"/>
      <c r="AM1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5" s="28" t="str">
        <f aca="false">IF(Tasks[[#This Row],[Task Name]]="","",IF(Tasks[[#This Row],[Progress]]&gt;=1,"Complete",IF(OR(N(Tasks[[#This Row],[Actual Start]])&gt;0,Tasks[[#This Row],[Progress]]&gt;0),IF(Tasks[[#This Row],[Finish Var]]&gt;0,"Behind","In Progress"),IF(Tasks[[#This Row],[Planned Start]]&lt;StatusDate,"Late Start","Not Started"))))</f>
        <v/>
      </c>
      <c r="AO105" s="30"/>
      <c r="AP105" s="89"/>
      <c r="AQ1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5" s="96" t="str">
        <f aca="false">IF(Tasks[[#This Row],[Task Name]]="","",IF(Tasks[[#This Row],[_IsSummary]],SUM(INDEX(Tasks[_LeafTotalWork],Tasks[[#This Row],[_Row]]+1):INDEX(Tasks[_LeafTotalWork],Tasks[[#This Row],[_Row]]+Tasks[[#This Row],[_Descendants]])),Tasks[[#This Row],[_LeafTotalWork]]))</f>
        <v/>
      </c>
      <c r="AT105" s="97" t="str">
        <f aca="false">IF(Tasks[[#This Row],[Task Name]]="","",IF(Tasks[[#This Row],[_IsSummary]],SUM(INDEX(Tasks[_LeafTotalCost],Tasks[[#This Row],[_Row]]+1):INDEX(Tasks[_LeafTotalCost],Tasks[[#This Row],[_Row]]+Tasks[[#This Row],[_Descendants]])),Tasks[[#This Row],[_LeafTotalCost]]))</f>
        <v/>
      </c>
      <c r="AU105" s="98"/>
      <c r="AV105" s="29"/>
      <c r="AW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5" s="83"/>
      <c r="AY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5" s="30"/>
      <c r="BA105" s="25" t="str">
        <f aca="false">IF(Tasks[[#This Row],[Task Name]]="","",Tasks[[#This Row],[Forecast Start]])</f>
        <v/>
      </c>
      <c r="BB105" s="25" t="str">
        <f aca="false">IF(Tasks[[#This Row],[Task Name]]="","",Tasks[[#This Row],[Forecast Finish]])</f>
        <v/>
      </c>
      <c r="BC105" s="28" t="str">
        <f aca="false">IF(Tasks[[#This Row],[Task Name]]="","",IF(Tasks[[#This Row],[_IsSummary]],NETWORKDAYS.INTL(Tasks[[#This Row],[Forecast Start]],Tasks[[#This Row],[Forecast Finish]],WorkWeek,Holidays),N(Tasks[[#This Row],[Duration]])))</f>
        <v/>
      </c>
      <c r="BD105" s="96" t="str">
        <f aca="false">IF(Tasks[[#This Row],[Task Name]]="","",Tasks[[#This Row],[Work]])</f>
        <v/>
      </c>
      <c r="BE105" s="97" t="str">
        <f aca="false">IF(Tasks[[#This Row],[Task Name]]="","",Tasks[[#This Row],[Cost]])</f>
        <v/>
      </c>
      <c r="BF105" s="75"/>
      <c r="BG105" s="75"/>
      <c r="BH105" s="29"/>
      <c r="BI105" s="99"/>
      <c r="BJ105" s="98"/>
      <c r="BK105" s="28" t="str">
        <f aca="false">IF(OR(Tasks[[#This Row],[Task Name]]="",Tasks[[#This Row],[Baseline Duration]]=""),"",Tasks[[#This Row],[BL Source Duration]]-N(Tasks[[#This Row],[Baseline Duration]]))</f>
        <v/>
      </c>
      <c r="BL105" s="96" t="str">
        <f aca="false">IF(OR(Tasks[[#This Row],[Task Name]]="",Tasks[[#This Row],[Baseline Work]]=""),"",Tasks[[#This Row],[Work]]-N(Tasks[[#This Row],[Baseline Work]]))</f>
        <v/>
      </c>
      <c r="BM105" s="97" t="str">
        <f aca="false">IF(OR(Tasks[[#This Row],[Task Name]]="",Tasks[[#This Row],[Baseline Cost]]=""),"",Tasks[[#This Row],[Cost]]-N(Tasks[[#This Row],[Baseline Cost]]))</f>
        <v/>
      </c>
      <c r="BN105" s="97" t="str">
        <f aca="false">IF(Tasks[[#This Row],[Task Name]]="","",IF(Tasks[[#This Row],[_IsSummary]],SUM(INDEX(Tasks[_LeafBudget],Tasks[[#This Row],[_Row]]+1):INDEX(Tasks[_LeafBudget],Tasks[[#This Row],[_Row]]+Tasks[[#This Row],[_Descendants]])),Tasks[[#This Row],[_LeafBudget]]))</f>
        <v/>
      </c>
      <c r="BO105" s="97" t="str">
        <f aca="false">IF(Tasks[[#This Row],[Task Name]]="","",IF(Tasks[[#This Row],[_IsSummary]],SUM(INDEX(Tasks[_LeafPV],Tasks[[#This Row],[_Row]]+1):INDEX(Tasks[_LeafPV],Tasks[[#This Row],[_Row]]+Tasks[[#This Row],[_Descendants]])),Tasks[[#This Row],[_LeafPV]]))</f>
        <v/>
      </c>
      <c r="BP105" s="97" t="str">
        <f aca="false">IF(Tasks[[#This Row],[Task Name]]="","",IF(Tasks[[#This Row],[_IsSummary]],SUM(INDEX(Tasks[_LeafEV],Tasks[[#This Row],[_Row]]+1):INDEX(Tasks[_LeafEV],Tasks[[#This Row],[_Row]]+Tasks[[#This Row],[_Descendants]])),Tasks[[#This Row],[_LeafEV]]))</f>
        <v/>
      </c>
      <c r="BQ105" s="97" t="str">
        <f aca="false">IF(Tasks[[#This Row],[Task Name]]="","",IF(Tasks[[#This Row],[_IsSummary]],SUM(INDEX(Tasks[_LeafAC],Tasks[[#This Row],[_Row]]+1):INDEX(Tasks[_LeafAC],Tasks[[#This Row],[_Row]]+Tasks[[#This Row],[_Descendants]])),Tasks[[#This Row],[_LeafAC]]))</f>
        <v/>
      </c>
      <c r="BR105" s="41" t="str">
        <f aca="false">IF(Tasks[[#This Row],[Task Name]]="","",MAX(1,N(Tasks[[#This Row],[Level]])))</f>
        <v/>
      </c>
      <c r="BS105" s="41" t="n">
        <f aca="false">ROW()-ROW(Tasks[[#Headers],[ID]])</f>
        <v>100</v>
      </c>
      <c r="BT105" s="41" t="n">
        <f aca="false">IF(OR(Tasks[[#This Row],[Task Name]]="",Tasks[[#This Row],[_Level]]&lt;=1),0,IFERROR(LOOKUP(2,1/(Tasks[[#Headers],[_Level]]:Tasks[[#This Row],[_Level]]=Tasks[[#This Row],[_Level]]-1),ROW(Tasks[[#Headers],[_Level]]:Tasks[[#This Row],[_Level]])),0))</f>
        <v>0</v>
      </c>
      <c r="BU105" s="41" t="n">
        <f aca="false">IFERROR(N(INDEX(Tasks[_Level],Tasks[[#This Row],[_Row]]+1)),0)</f>
        <v>0</v>
      </c>
      <c r="BV105" s="100" t="b">
        <f aca="false">AND(Tasks[[#This Row],[Task Name]]&lt;&gt;"",Tasks[[#This Row],[_NextLevel]]&gt;Tasks[[#This Row],[_Level]])</f>
        <v>0</v>
      </c>
      <c r="BW105" s="41" t="n">
        <f aca="false">IF(Tasks[[#This Row],[_IsSummary]],COUNTIF(Tasks[WBS],Tasks[[#This Row],[WBS]]&amp;".*"),0)</f>
        <v>0</v>
      </c>
      <c r="BX105" s="41" t="n">
        <f aca="false">IF(AND(Tasks[[#This Row],[Task Name]]&lt;&gt;"",NOT(Tasks[[#This Row],[_IsSummary]])),1,0)</f>
        <v>0</v>
      </c>
      <c r="BY105" s="41" t="n">
        <f aca="false">IF(N(Tasks[[#This Row],[Pred1 UID]])=0,0,IFERROR(MATCH(Tasks[[#This Row],[Pred1 UID]],Tasks[UID],0),-1))</f>
        <v>0</v>
      </c>
      <c r="BZ105" s="41" t="n">
        <f aca="false">IF(N(Tasks[[#This Row],[Pred2 UID]])=0,0,IFERROR(MATCH(Tasks[[#This Row],[Pred2 UID]],Tasks[UID],0),-1))</f>
        <v>0</v>
      </c>
      <c r="CA105" s="41" t="n">
        <f aca="false">IF(N(Tasks[[#This Row],[Pred3 UID]])=0,0,IFERROR(MATCH(Tasks[[#This Row],[Pred3 UID]],Tasks[UID],0),-1))</f>
        <v>0</v>
      </c>
      <c r="CB105" s="41" t="n">
        <f aca="false">IF(N(Tasks[[#This Row],[Pred4 UID]])=0,0,IFERROR(MATCH(Tasks[[#This Row],[Pred4 UID]],Tasks[UID],0),-1))</f>
        <v>0</v>
      </c>
      <c r="CC1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5" s="101" t="n">
        <f aca="false">IF(OR(Tasks[[#This Row],[_ConstraintCode]]=2,Tasks[[#This Row],[_ConstraintCode]]=3,Tasks[[#This Row],[_ConstraintCode]]=4,Tasks[[#This Row],[_ConstraintCode]]=6),Tasks[[#This Row],[_ConstraintStart]],0)</f>
        <v>0</v>
      </c>
      <c r="CF105" s="101" t="n">
        <f aca="false">IF(OR(Tasks[[#This Row],[_ConstraintCode]]=2,Tasks[[#This Row],[_ConstraintCode]]=3,Tasks[[#This Row],[_ConstraintCode]]=5,Tasks[[#This Row],[_ConstraintCode]]=7),Tasks[[#This Row],[_ConstraintStart]],2958465)</f>
        <v>2958465</v>
      </c>
      <c r="CG10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5" s="101" t="str">
        <f aca="false">IF(NOT(Tasks[[#This Row],[_IsLeaf]]=1),"",IF(N(Tasks[[#This Row],[Duration]])&lt;=0,Tasks[[#This Row],[_LeafCalcStart]],WORKDAY.INTL(Tasks[[#This Row],[_LeafCalcStart]],Tasks[[#This Row],[Duration]]-1,WorkWeek,Holidays)))</f>
        <v/>
      </c>
      <c r="CI10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5" s="41" t="n">
        <f aca="false">IF(NOT(Tasks[[#This Row],[_IsLeaf]]=1),0,IF(N(Tasks[[#This Row],[Actual Finish]])&gt;0,1,MIN(1,N(Tasks[[#This Row],[% Complete]]))))</f>
        <v>0</v>
      </c>
      <c r="CL105" s="41" t="n">
        <f aca="false">IF(OR(NOT(Tasks[[#This Row],[_IsLeaf]]=1),Tasks[[#This Row],[Resource]]=""),0,N(Tasks[[#This Row],[Duration]])*HoursPerDay*IF(Tasks[[#This Row],[Units]]="",DefaultUnits,Tasks[[#This Row],[Units]]))</f>
        <v>0</v>
      </c>
      <c r="CM105" s="41" t="n">
        <f aca="false">IF(Tasks[[#This Row],[_LeafWork]]=0,0,Tasks[[#This Row],[_LeafWork]]*IFERROR(INDEX(res_Rate,MATCH(Tasks[[#This Row],[Resource]],res_Name,0)),0))</f>
        <v>0</v>
      </c>
      <c r="CN105" s="41" t="n">
        <f aca="false">Tasks[[#This Row],[_LeafWork]]+IF(Tasks[[#This Row],[_IsLeaf]]=1,SUMIFS(asg_Work,asg_TaskUID,Tasks[[#This Row],[UID]],asg_Valid,1),0)</f>
        <v>0</v>
      </c>
      <c r="CO105" s="41" t="n">
        <f aca="false">Tasks[[#This Row],[_LeafCost]]+IF(Tasks[[#This Row],[_IsLeaf]]=1,SUMIFS(asg_Cost,asg_TaskUID,Tasks[[#This Row],[UID]],asg_Valid,1),0)</f>
        <v>0</v>
      </c>
      <c r="CP105" s="41" t="n">
        <f aca="false">IF(Tasks[[#This Row],[_LeafTotalCost]]=0,Tasks[[#This Row],[_LeafAC]],Tasks[[#This Row],[_LeafAC]]*Tasks[[#This Row],[_LeafCost]]/Tasks[[#This Row],[_LeafTotalCost]])</f>
        <v>0</v>
      </c>
      <c r="CQ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5" s="41" t="n">
        <f aca="false">IF(NOT(Tasks[[#This Row],[_IsLeaf]]=1),0,MAX(_xlfn.MAXIFS(Tasks[_Row],Tasks[Pred1 UID],Tasks[[#This Row],[UID]]),_xlfn.MAXIFS(Tasks[_Row],Tasks[Pred2 UID],Tasks[[#This Row],[UID]]),_xlfn.MAXIFS(Tasks[_Row],Tasks[Pred3 UID],Tasks[[#This Row],[UID]]),_xlfn.MAXIFS(Tasks[_Row],Tasks[Pred4 UID],Tasks[[#This Row],[UID]])))</f>
        <v>0</v>
      </c>
      <c r="CZ1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5" s="101" t="str">
        <f aca="false">IF(NOT(Tasks[[#This Row],[_IsLeaf]]=1),"",IF(N(Tasks[[#This Row],[Duration]])&lt;=0,Tasks[[#This Row],[_LeafLateFinish]],WORKDAY.INTL(Tasks[[#This Row],[_LeafLateFinish]],-(Tasks[[#This Row],[Duration]]-1),WorkWeek,Holidays)))</f>
        <v/>
      </c>
      <c r="DC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5" s="100" t="b">
        <f aca="false">AND(Tasks[[#This Row],[_IsLeaf]]=1,Tasks[[#This Row],[_LeafProgress]]&lt;1,N(Tasks[[#This Row],[_LeafTotalSlack]])&lt;=CriticalSlackDays)</f>
        <v>0</v>
      </c>
      <c r="DE105" s="41" t="n">
        <f aca="false">IF(AND(Tasks[[#This Row],[_IsLeaf]]=1,Tasks[[#This Row],[_ConstraintCode]]=1,Tasks[[#This Row],[Mode]]&lt;&gt;"Manual",N(Tasks[[#This Row],[Actual Start]])=0),MAX(0,N(Tasks[[#This Row],[Free Slack]])),0)</f>
        <v>0</v>
      </c>
      <c r="DF105" s="101" t="str">
        <f aca="false">IF(NOT(Tasks[[#This Row],[_IsLeaf]]=1),"",IF(Tasks[[#This Row],[_AlapShift]]=0,Tasks[[#This Row],[_LeafCalcStart]],WORKDAY.INTL(Tasks[[#This Row],[_LeafCalcStart]],Tasks[[#This Row],[_AlapShift]],WorkWeek,Holidays)))</f>
        <v/>
      </c>
      <c r="DG105" s="101" t="str">
        <f aca="false">IF(NOT(Tasks[[#This Row],[_IsLeaf]]=1),"",IF(Tasks[[#This Row],[_AlapShift]]=0,Tasks[[#This Row],[_LeafCalcFinish]],WORKDAY.INTL(Tasks[[#This Row],[_LeafCalcFinish]],Tasks[[#This Row],[_AlapShift]],WorkWeek,Holidays)))</f>
        <v/>
      </c>
      <c r="DH105" s="101" t="str">
        <f aca="false">IF(NOT(Tasks[[#This Row],[_IsLeaf]]=1),"",IF(Tasks[[#This Row],[_AlapShift]]=0,Tasks[[#This Row],[_LeafFcstStart]],WORKDAY.INTL(Tasks[[#This Row],[_LeafFcstStart]],Tasks[[#This Row],[_AlapShift]],WorkWeek,Holidays)))</f>
        <v/>
      </c>
      <c r="DI105" s="101" t="str">
        <f aca="false">IF(NOT(Tasks[[#This Row],[_IsLeaf]]=1),"",IF(Tasks[[#This Row],[_AlapShift]]=0,Tasks[[#This Row],[_LeafFcstFinish]],WORKDAY.INTL(Tasks[[#This Row],[_LeafFcstFinish]],Tasks[[#This Row],[_AlapShift]],WorkWeek,Holidays)))</f>
        <v/>
      </c>
      <c r="DJ105" s="101" t="str">
        <f aca="false">IF(Tasks[[#This Row],[Task Name]]="","",IF(Tasks[[#This Row],[_IsSummary]],MIN(INDEX(Tasks[_ShownCalcStart],Tasks[[#This Row],[_Row]]+1):INDEX(Tasks[_ShownCalcStart],Tasks[[#This Row],[_Row]]+Tasks[[#This Row],[_Descendants]])),Tasks[[#This Row],[_ShownCalcStart]]))</f>
        <v/>
      </c>
      <c r="DK105" s="101" t="str">
        <f aca="false">IF(Tasks[[#This Row],[Task Name]]="","",IF(Tasks[[#This Row],[_IsSummary]],MAX(INDEX(Tasks[_ShownCalcFinish],Tasks[[#This Row],[_Row]]+1):INDEX(Tasks[_ShownCalcFinish],Tasks[[#This Row],[_Row]]+Tasks[[#This Row],[_Descendants]])),Tasks[[#This Row],[_ShownCalcFinish]]))</f>
        <v/>
      </c>
      <c r="D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5" s="41" t="n">
        <f aca="false">IF(AND(Tasks[[#This Row],[_IsLeaf]]=1,Tasks[[#This Row],[_LeafTotalWork]]&gt;0),NETWORKDAYS.INTL(ProjectStart,Tasks[[#This Row],[_ShownFcstStart]],WorkWeek,Holidays),0)</f>
        <v>0</v>
      </c>
      <c r="DY105" s="41" t="n">
        <f aca="false">IF(AND(Tasks[[#This Row],[_IsLeaf]]=1,Tasks[[#This Row],[_LeafTotalWork]]&gt;0),MAX(Tasks[[#This Row],[_StartWorkday]],NETWORKDAYS.INTL(ProjectStart,Tasks[[#This Row],[_ShownFcstFinish]],WorkWeek,Holidays)),0)</f>
        <v>0</v>
      </c>
      <c r="DZ105" s="41" t="n">
        <f aca="false">IF(AND(Tasks[[#This Row],[_IsLeaf]]=1,Tasks[[#This Row],[_LeafTotalWork]]&gt;0),Tasks[[#This Row],[_LeafWork]]/(Tasks[[#This Row],[_FinishWorkday]]-Tasks[[#This Row],[_StartWorkday]]+1),0)</f>
        <v>0</v>
      </c>
      <c r="EA105" s="41" t="n">
        <f aca="false">Tasks[[#This Row],[_WorkPerWorkday]]*(Tasks[[#This Row],[_StartWorkday]]-1)</f>
        <v>-0</v>
      </c>
      <c r="EB105" s="41" t="n">
        <f aca="false">IF(Tasks[[#This Row],[_IsLeaf]]=1,MAX(N(Tasks[[#This Row],[Duration]]),0.1),0)</f>
        <v>0</v>
      </c>
      <c r="EC105" s="41" t="n">
        <f aca="false">Tasks[[#This Row],[_WeightDur]]*Tasks[[#This Row],[_LeafProgress]]</f>
        <v>0</v>
      </c>
      <c r="ED1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5" s="41" t="str">
        <f aca="false">IF(AND(Tasks[[#This Row],[_IsLeaf]]=1,N(Tasks[[#This Row],[Duration]])=0,Tasks[[#This Row],[_LeafProgress]]&lt;1),Tasks[[#This Row],[_ShownFcstFinish]]+Tasks[[#This Row],[_Row]]/100000,"")</f>
        <v/>
      </c>
      <c r="EF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5" s="41" t="n">
        <f aca="false">IF(NOT(Tasks[[#This Row],[_IsLeaf]]=1),0,IF(Tasks[[#This Row],[Baseline Cost]]="",Tasks[[#This Row],[_LeafTotalCost]],N(Tasks[[#This Row],[Baseline Cost]])))</f>
        <v>0</v>
      </c>
      <c r="EH105" s="41" t="n">
        <f aca="false">Tasks[[#This Row],[_LeafBudget]]*Tasks[[#This Row],[_PlannedPct]]</f>
        <v>0</v>
      </c>
      <c r="EI105" s="41" t="n">
        <f aca="false">Tasks[[#This Row],[_LeafBudget]]*Tasks[[#This Row],[_LeafProgress]]</f>
        <v>0</v>
      </c>
      <c r="EJ105" s="41" t="n">
        <f aca="false">IF(NOT(Tasks[[#This Row],[_IsLeaf]]=1),0,IF(Tasks[[#This Row],[Actual Cost]]="",Tasks[[#This Row],[_LeafTotalCost]]*Tasks[[#This Row],[_LeafProgress]],N(Tasks[[#This Row],[Actual Cost]])))</f>
        <v>0</v>
      </c>
      <c r="EK105" s="41" t="str">
        <f aca="false">IF(Tasks[[#This Row],[Task Name]]="","",LEFT(Tasks[[#This Row],[WBS]],FIND(".",Tasks[[#This Row],[WBS]]&amp;".")-1))</f>
        <v/>
      </c>
      <c r="EL105" s="41" t="str">
        <f aca="false">IF(AND(Tasks[[#This Row],[Task Name]]&lt;&gt;"",Tasks[[#This Row],[_Level]]=1),Tasks[[#This Row],[_Row]],"")</f>
        <v/>
      </c>
      <c r="EM105" s="41" t="str">
        <f aca="false">IF(AND(Tasks[[#This Row],[_IsLeaf]]=1,N(Tasks[[#This Row],[Duration]])=0),Tasks[[#This Row],[Planned Finish]]+Tasks[[#This Row],[_Row]]/100000,"")</f>
        <v/>
      </c>
      <c r="EN105" s="41" t="str">
        <f aca="false">IF(AND(Tasks[[#This Row],[_IsLeaf]]=1,Tasks[[#This Row],[_LeafProgress]]&lt;1,OR(N(Tasks[[#This Row],[Finish Var]])&gt;0,Tasks[[#This Row],[Status]]="Late Start")),MAX(0,Tasks[[#This Row],[Finish Var]])+1-Tasks[[#This Row],[_Row]]/1000000,"")</f>
        <v/>
      </c>
      <c r="EO105" s="41" t="str">
        <f aca="false">IF(AND(Tasks[[#This Row],[_IsLeaf]]=1,N(Tasks[[#This Row],[Actual Start]])=0,Tasks[[#This Row],[_ShownFcstStart]]&gt;=StatusDate,Tasks[[#This Row],[_ShownFcstStart]]&lt;=LookaheadEnd),Tasks[[#This Row],[_ShownFcstStart]]+Tasks[[#This Row],[_Row]]/100000,"")</f>
        <v/>
      </c>
      <c r="EP105" s="41" t="str">
        <f aca="false">IF(AND(Tasks[[#This Row],[_IsLeaf]]=1,Tasks[[#This Row],[_LeafProgress]]&lt;1,Tasks[[#This Row],[_ShownFcstFinish]]&gt;=StatusDate,Tasks[[#This Row],[_ShownFcstFinish]]&lt;=LookaheadEnd),Tasks[[#This Row],[_ShownFcstFinish]]+Tasks[[#This Row],[_Row]]/100000,"")</f>
        <v/>
      </c>
      <c r="EQ105" s="41" t="str">
        <f aca="false">IF(Tasks[[#This Row],[_LeafCritical]],Tasks[[#This Row],[_ShownFcstStart]]+Tasks[[#This Row],[_Row]]/100000,"")</f>
        <v/>
      </c>
      <c r="ER105" s="41" t="n">
        <f aca="false">Tasks[[#This Row],[_LeafWork]]*Tasks[[#This Row],[_LeafProgress]]</f>
        <v>0</v>
      </c>
      <c r="ES105" s="101" t="str">
        <f aca="false">IF(AND(Tasks[[#This Row],[_IsLeaf]]=1,Tasks[[#This Row],[_LeafProgress]]&gt;=1),IF(N(Tasks[[#This Row],[Actual Finish]])&gt;0,Tasks[[#This Row],[Actual Finish]],Tasks[[#This Row],[_ShownFcstFinish]]),"")</f>
        <v/>
      </c>
      <c r="ET105" s="41" t="n">
        <f aca="false">IF(Tasks[[#This Row],[_IsLeaf]]=1,N(Tasks[[#This Row],[Story Points]]),0)</f>
        <v>0</v>
      </c>
      <c r="EU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29"/>
      <c r="O106" s="29"/>
      <c r="P106" s="29"/>
      <c r="Q106" s="29"/>
      <c r="R106" s="29"/>
      <c r="S106" s="29"/>
      <c r="T106" s="30"/>
      <c r="U106" s="75"/>
      <c r="V106" s="75"/>
      <c r="W106" s="25" t="str">
        <f aca="false">IF(Tasks[[#This Row],[Task Name]]="","",IF(N(Tasks[[#This Row],[Baseline Start]])&gt;0,Tasks[[#This Row],[Baseline Start]],Tasks[[#This Row],[_CalcStart]]))</f>
        <v/>
      </c>
      <c r="X106" s="25" t="str">
        <f aca="false">IF(Tasks[[#This Row],[Task Name]]="","",IF(N(Tasks[[#This Row],[Baseline Finish]])&gt;0,Tasks[[#This Row],[Baseline Finish]],Tasks[[#This Row],[_CalcFinish]]))</f>
        <v/>
      </c>
      <c r="Y106" s="75"/>
      <c r="Z106" s="75"/>
      <c r="AA106" s="25" t="str">
        <f aca="false">IF(Tasks[[#This Row],[Task Name]]="","",IF(Tasks[[#This Row],[_IsSummary]],MIN(INDEX(Tasks[_ShownFcstStart],Tasks[[#This Row],[_Row]]+1):INDEX(Tasks[_ShownFcstStart],Tasks[[#This Row],[_Row]]+Tasks[[#This Row],[_Descendants]])),Tasks[[#This Row],[_ShownFcstStart]]))</f>
        <v/>
      </c>
      <c r="AB106" s="25" t="str">
        <f aca="false">IF(Tasks[[#This Row],[Task Name]]="","",IF(Tasks[[#This Row],[_IsSummary]],MAX(INDEX(Tasks[_ShownFcstFinish],Tasks[[#This Row],[_Row]]+1):INDEX(Tasks[_ShownFcstFinish],Tasks[[#This Row],[_Row]]+Tasks[[#This Row],[_Descendants]])),Tasks[[#This Row],[_ShownFcstFinish]]))</f>
        <v/>
      </c>
      <c r="AC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6" s="25" t="str">
        <f aca="false">IF(Tasks[[#This Row],[Task Name]]="","",IF(Tasks[[#This Row],[_IsSummary]],MIN(INDEX(Tasks[_LeafLateStart],Tasks[[#This Row],[_Row]]+1):INDEX(Tasks[_LeafLateStart],Tasks[[#This Row],[_Row]]+Tasks[[#This Row],[_Descendants]])),Tasks[[#This Row],[_LeafLateStart]]))</f>
        <v/>
      </c>
      <c r="AF106" s="25" t="str">
        <f aca="false">IF(Tasks[[#This Row],[Task Name]]="","",IF(Tasks[[#This Row],[_IsSummary]],MAX(INDEX(Tasks[_LeafLateFinish],Tasks[[#This Row],[_Row]]+1):INDEX(Tasks[_LeafLateFinish],Tasks[[#This Row],[_Row]]+Tasks[[#This Row],[_Descendants]])),Tasks[[#This Row],[_LeafLateFinish]]))</f>
        <v/>
      </c>
      <c r="AG106" s="28" t="str">
        <f aca="false">IF(Tasks[[#This Row],[Task Name]]="","",IF(Tasks[[#This Row],[_IsSummary]],MIN(INDEX(Tasks[_LeafTotalSlack],Tasks[[#This Row],[_Row]]+1):INDEX(Tasks[_LeafTotalSlack],Tasks[[#This Row],[_Row]]+Tasks[[#This Row],[_Descendants]])),Tasks[[#This Row],[_LeafTotalSlack]]))</f>
        <v/>
      </c>
      <c r="AH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6" s="28" t="str">
        <f aca="false">IF(Tasks[[#This Row],[Task Name]]="","",IF(IF(Tasks[[#This Row],[_IsSummary]],COUNTIF(INDEX(Tasks[_LeafCritical],Tasks[[#This Row],[_Row]]+1):INDEX(Tasks[_LeafCritical],Tasks[[#This Row],[_Row]]+Tasks[[#This Row],[_Descendants]]),TRUE())&gt;0,Tasks[[#This Row],[_LeafCritical]]),"Yes",""))</f>
        <v/>
      </c>
      <c r="AJ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6" s="89"/>
      <c r="AM10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6" s="28" t="str">
        <f aca="false">IF(Tasks[[#This Row],[Task Name]]="","",IF(Tasks[[#This Row],[Progress]]&gt;=1,"Complete",IF(OR(N(Tasks[[#This Row],[Actual Start]])&gt;0,Tasks[[#This Row],[Progress]]&gt;0),IF(Tasks[[#This Row],[Finish Var]]&gt;0,"Behind","In Progress"),IF(Tasks[[#This Row],[Planned Start]]&lt;StatusDate,"Late Start","Not Started"))))</f>
        <v/>
      </c>
      <c r="AO106" s="30"/>
      <c r="AP106" s="89"/>
      <c r="AQ10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6" s="96" t="str">
        <f aca="false">IF(Tasks[[#This Row],[Task Name]]="","",IF(Tasks[[#This Row],[_IsSummary]],SUM(INDEX(Tasks[_LeafTotalWork],Tasks[[#This Row],[_Row]]+1):INDEX(Tasks[_LeafTotalWork],Tasks[[#This Row],[_Row]]+Tasks[[#This Row],[_Descendants]])),Tasks[[#This Row],[_LeafTotalWork]]))</f>
        <v/>
      </c>
      <c r="AT106" s="97" t="str">
        <f aca="false">IF(Tasks[[#This Row],[Task Name]]="","",IF(Tasks[[#This Row],[_IsSummary]],SUM(INDEX(Tasks[_LeafTotalCost],Tasks[[#This Row],[_Row]]+1):INDEX(Tasks[_LeafTotalCost],Tasks[[#This Row],[_Row]]+Tasks[[#This Row],[_Descendants]])),Tasks[[#This Row],[_LeafTotalCost]]))</f>
        <v/>
      </c>
      <c r="AU106" s="98"/>
      <c r="AV106" s="29"/>
      <c r="AW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6" s="83"/>
      <c r="AY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6" s="30"/>
      <c r="BA106" s="25" t="str">
        <f aca="false">IF(Tasks[[#This Row],[Task Name]]="","",Tasks[[#This Row],[Forecast Start]])</f>
        <v/>
      </c>
      <c r="BB106" s="25" t="str">
        <f aca="false">IF(Tasks[[#This Row],[Task Name]]="","",Tasks[[#This Row],[Forecast Finish]])</f>
        <v/>
      </c>
      <c r="BC106" s="28" t="str">
        <f aca="false">IF(Tasks[[#This Row],[Task Name]]="","",IF(Tasks[[#This Row],[_IsSummary]],NETWORKDAYS.INTL(Tasks[[#This Row],[Forecast Start]],Tasks[[#This Row],[Forecast Finish]],WorkWeek,Holidays),N(Tasks[[#This Row],[Duration]])))</f>
        <v/>
      </c>
      <c r="BD106" s="96" t="str">
        <f aca="false">IF(Tasks[[#This Row],[Task Name]]="","",Tasks[[#This Row],[Work]])</f>
        <v/>
      </c>
      <c r="BE106" s="97" t="str">
        <f aca="false">IF(Tasks[[#This Row],[Task Name]]="","",Tasks[[#This Row],[Cost]])</f>
        <v/>
      </c>
      <c r="BF106" s="75"/>
      <c r="BG106" s="75"/>
      <c r="BH106" s="29"/>
      <c r="BI106" s="99"/>
      <c r="BJ106" s="98"/>
      <c r="BK106" s="28" t="str">
        <f aca="false">IF(OR(Tasks[[#This Row],[Task Name]]="",Tasks[[#This Row],[Baseline Duration]]=""),"",Tasks[[#This Row],[BL Source Duration]]-N(Tasks[[#This Row],[Baseline Duration]]))</f>
        <v/>
      </c>
      <c r="BL106" s="96" t="str">
        <f aca="false">IF(OR(Tasks[[#This Row],[Task Name]]="",Tasks[[#This Row],[Baseline Work]]=""),"",Tasks[[#This Row],[Work]]-N(Tasks[[#This Row],[Baseline Work]]))</f>
        <v/>
      </c>
      <c r="BM106" s="97" t="str">
        <f aca="false">IF(OR(Tasks[[#This Row],[Task Name]]="",Tasks[[#This Row],[Baseline Cost]]=""),"",Tasks[[#This Row],[Cost]]-N(Tasks[[#This Row],[Baseline Cost]]))</f>
        <v/>
      </c>
      <c r="BN106" s="97" t="str">
        <f aca="false">IF(Tasks[[#This Row],[Task Name]]="","",IF(Tasks[[#This Row],[_IsSummary]],SUM(INDEX(Tasks[_LeafBudget],Tasks[[#This Row],[_Row]]+1):INDEX(Tasks[_LeafBudget],Tasks[[#This Row],[_Row]]+Tasks[[#This Row],[_Descendants]])),Tasks[[#This Row],[_LeafBudget]]))</f>
        <v/>
      </c>
      <c r="BO106" s="97" t="str">
        <f aca="false">IF(Tasks[[#This Row],[Task Name]]="","",IF(Tasks[[#This Row],[_IsSummary]],SUM(INDEX(Tasks[_LeafPV],Tasks[[#This Row],[_Row]]+1):INDEX(Tasks[_LeafPV],Tasks[[#This Row],[_Row]]+Tasks[[#This Row],[_Descendants]])),Tasks[[#This Row],[_LeafPV]]))</f>
        <v/>
      </c>
      <c r="BP106" s="97" t="str">
        <f aca="false">IF(Tasks[[#This Row],[Task Name]]="","",IF(Tasks[[#This Row],[_IsSummary]],SUM(INDEX(Tasks[_LeafEV],Tasks[[#This Row],[_Row]]+1):INDEX(Tasks[_LeafEV],Tasks[[#This Row],[_Row]]+Tasks[[#This Row],[_Descendants]])),Tasks[[#This Row],[_LeafEV]]))</f>
        <v/>
      </c>
      <c r="BQ106" s="97" t="str">
        <f aca="false">IF(Tasks[[#This Row],[Task Name]]="","",IF(Tasks[[#This Row],[_IsSummary]],SUM(INDEX(Tasks[_LeafAC],Tasks[[#This Row],[_Row]]+1):INDEX(Tasks[_LeafAC],Tasks[[#This Row],[_Row]]+Tasks[[#This Row],[_Descendants]])),Tasks[[#This Row],[_LeafAC]]))</f>
        <v/>
      </c>
      <c r="BR106" s="41" t="str">
        <f aca="false">IF(Tasks[[#This Row],[Task Name]]="","",MAX(1,N(Tasks[[#This Row],[Level]])))</f>
        <v/>
      </c>
      <c r="BS106" s="41" t="n">
        <f aca="false">ROW()-ROW(Tasks[[#Headers],[ID]])</f>
        <v>101</v>
      </c>
      <c r="BT106" s="41" t="n">
        <f aca="false">IF(OR(Tasks[[#This Row],[Task Name]]="",Tasks[[#This Row],[_Level]]&lt;=1),0,IFERROR(LOOKUP(2,1/(Tasks[[#Headers],[_Level]]:Tasks[[#This Row],[_Level]]=Tasks[[#This Row],[_Level]]-1),ROW(Tasks[[#Headers],[_Level]]:Tasks[[#This Row],[_Level]])),0))</f>
        <v>0</v>
      </c>
      <c r="BU106" s="41" t="n">
        <f aca="false">IFERROR(N(INDEX(Tasks[_Level],Tasks[[#This Row],[_Row]]+1)),0)</f>
        <v>0</v>
      </c>
      <c r="BV106" s="100" t="b">
        <f aca="false">AND(Tasks[[#This Row],[Task Name]]&lt;&gt;"",Tasks[[#This Row],[_NextLevel]]&gt;Tasks[[#This Row],[_Level]])</f>
        <v>0</v>
      </c>
      <c r="BW106" s="41" t="n">
        <f aca="false">IF(Tasks[[#This Row],[_IsSummary]],COUNTIF(Tasks[WBS],Tasks[[#This Row],[WBS]]&amp;".*"),0)</f>
        <v>0</v>
      </c>
      <c r="BX106" s="41" t="n">
        <f aca="false">IF(AND(Tasks[[#This Row],[Task Name]]&lt;&gt;"",NOT(Tasks[[#This Row],[_IsSummary]])),1,0)</f>
        <v>0</v>
      </c>
      <c r="BY106" s="41" t="n">
        <f aca="false">IF(N(Tasks[[#This Row],[Pred1 UID]])=0,0,IFERROR(MATCH(Tasks[[#This Row],[Pred1 UID]],Tasks[UID],0),-1))</f>
        <v>0</v>
      </c>
      <c r="BZ106" s="41" t="n">
        <f aca="false">IF(N(Tasks[[#This Row],[Pred2 UID]])=0,0,IFERROR(MATCH(Tasks[[#This Row],[Pred2 UID]],Tasks[UID],0),-1))</f>
        <v>0</v>
      </c>
      <c r="CA106" s="41" t="n">
        <f aca="false">IF(N(Tasks[[#This Row],[Pred3 UID]])=0,0,IFERROR(MATCH(Tasks[[#This Row],[Pred3 UID]],Tasks[UID],0),-1))</f>
        <v>0</v>
      </c>
      <c r="CB106" s="41" t="n">
        <f aca="false">IF(N(Tasks[[#This Row],[Pred4 UID]])=0,0,IFERROR(MATCH(Tasks[[#This Row],[Pred4 UID]],Tasks[UID],0),-1))</f>
        <v>0</v>
      </c>
      <c r="CC10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6" s="101" t="n">
        <f aca="false">IF(OR(Tasks[[#This Row],[_ConstraintCode]]=2,Tasks[[#This Row],[_ConstraintCode]]=3,Tasks[[#This Row],[_ConstraintCode]]=4,Tasks[[#This Row],[_ConstraintCode]]=6),Tasks[[#This Row],[_ConstraintStart]],0)</f>
        <v>0</v>
      </c>
      <c r="CF106" s="101" t="n">
        <f aca="false">IF(OR(Tasks[[#This Row],[_ConstraintCode]]=2,Tasks[[#This Row],[_ConstraintCode]]=3,Tasks[[#This Row],[_ConstraintCode]]=5,Tasks[[#This Row],[_ConstraintCode]]=7),Tasks[[#This Row],[_ConstraintStart]],2958465)</f>
        <v>2958465</v>
      </c>
      <c r="CG10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6" s="101" t="str">
        <f aca="false">IF(NOT(Tasks[[#This Row],[_IsLeaf]]=1),"",IF(N(Tasks[[#This Row],[Duration]])&lt;=0,Tasks[[#This Row],[_LeafCalcStart]],WORKDAY.INTL(Tasks[[#This Row],[_LeafCalcStart]],Tasks[[#This Row],[Duration]]-1,WorkWeek,Holidays)))</f>
        <v/>
      </c>
      <c r="CI10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6" s="41" t="n">
        <f aca="false">IF(NOT(Tasks[[#This Row],[_IsLeaf]]=1),0,IF(N(Tasks[[#This Row],[Actual Finish]])&gt;0,1,MIN(1,N(Tasks[[#This Row],[% Complete]]))))</f>
        <v>0</v>
      </c>
      <c r="CL106" s="41" t="n">
        <f aca="false">IF(OR(NOT(Tasks[[#This Row],[_IsLeaf]]=1),Tasks[[#This Row],[Resource]]=""),0,N(Tasks[[#This Row],[Duration]])*HoursPerDay*IF(Tasks[[#This Row],[Units]]="",DefaultUnits,Tasks[[#This Row],[Units]]))</f>
        <v>0</v>
      </c>
      <c r="CM106" s="41" t="n">
        <f aca="false">IF(Tasks[[#This Row],[_LeafWork]]=0,0,Tasks[[#This Row],[_LeafWork]]*IFERROR(INDEX(res_Rate,MATCH(Tasks[[#This Row],[Resource]],res_Name,0)),0))</f>
        <v>0</v>
      </c>
      <c r="CN106" s="41" t="n">
        <f aca="false">Tasks[[#This Row],[_LeafWork]]+IF(Tasks[[#This Row],[_IsLeaf]]=1,SUMIFS(asg_Work,asg_TaskUID,Tasks[[#This Row],[UID]],asg_Valid,1),0)</f>
        <v>0</v>
      </c>
      <c r="CO106" s="41" t="n">
        <f aca="false">Tasks[[#This Row],[_LeafCost]]+IF(Tasks[[#This Row],[_IsLeaf]]=1,SUMIFS(asg_Cost,asg_TaskUID,Tasks[[#This Row],[UID]],asg_Valid,1),0)</f>
        <v>0</v>
      </c>
      <c r="CP106" s="41" t="n">
        <f aca="false">IF(Tasks[[#This Row],[_LeafTotalCost]]=0,Tasks[[#This Row],[_LeafAC]],Tasks[[#This Row],[_LeafAC]]*Tasks[[#This Row],[_LeafCost]]/Tasks[[#This Row],[_LeafTotalCost]])</f>
        <v>0</v>
      </c>
      <c r="CQ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6" s="41" t="n">
        <f aca="false">IF(NOT(Tasks[[#This Row],[_IsLeaf]]=1),0,MAX(_xlfn.MAXIFS(Tasks[_Row],Tasks[Pred1 UID],Tasks[[#This Row],[UID]]),_xlfn.MAXIFS(Tasks[_Row],Tasks[Pred2 UID],Tasks[[#This Row],[UID]]),_xlfn.MAXIFS(Tasks[_Row],Tasks[Pred3 UID],Tasks[[#This Row],[UID]]),_xlfn.MAXIFS(Tasks[_Row],Tasks[Pred4 UID],Tasks[[#This Row],[UID]])))</f>
        <v>0</v>
      </c>
      <c r="CZ10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6" s="101" t="str">
        <f aca="false">IF(NOT(Tasks[[#This Row],[_IsLeaf]]=1),"",IF(N(Tasks[[#This Row],[Duration]])&lt;=0,Tasks[[#This Row],[_LeafLateFinish]],WORKDAY.INTL(Tasks[[#This Row],[_LeafLateFinish]],-(Tasks[[#This Row],[Duration]]-1),WorkWeek,Holidays)))</f>
        <v/>
      </c>
      <c r="DC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6" s="100" t="b">
        <f aca="false">AND(Tasks[[#This Row],[_IsLeaf]]=1,Tasks[[#This Row],[_LeafProgress]]&lt;1,N(Tasks[[#This Row],[_LeafTotalSlack]])&lt;=CriticalSlackDays)</f>
        <v>0</v>
      </c>
      <c r="DE106" s="41" t="n">
        <f aca="false">IF(AND(Tasks[[#This Row],[_IsLeaf]]=1,Tasks[[#This Row],[_ConstraintCode]]=1,Tasks[[#This Row],[Mode]]&lt;&gt;"Manual",N(Tasks[[#This Row],[Actual Start]])=0),MAX(0,N(Tasks[[#This Row],[Free Slack]])),0)</f>
        <v>0</v>
      </c>
      <c r="DF106" s="101" t="str">
        <f aca="false">IF(NOT(Tasks[[#This Row],[_IsLeaf]]=1),"",IF(Tasks[[#This Row],[_AlapShift]]=0,Tasks[[#This Row],[_LeafCalcStart]],WORKDAY.INTL(Tasks[[#This Row],[_LeafCalcStart]],Tasks[[#This Row],[_AlapShift]],WorkWeek,Holidays)))</f>
        <v/>
      </c>
      <c r="DG106" s="101" t="str">
        <f aca="false">IF(NOT(Tasks[[#This Row],[_IsLeaf]]=1),"",IF(Tasks[[#This Row],[_AlapShift]]=0,Tasks[[#This Row],[_LeafCalcFinish]],WORKDAY.INTL(Tasks[[#This Row],[_LeafCalcFinish]],Tasks[[#This Row],[_AlapShift]],WorkWeek,Holidays)))</f>
        <v/>
      </c>
      <c r="DH106" s="101" t="str">
        <f aca="false">IF(NOT(Tasks[[#This Row],[_IsLeaf]]=1),"",IF(Tasks[[#This Row],[_AlapShift]]=0,Tasks[[#This Row],[_LeafFcstStart]],WORKDAY.INTL(Tasks[[#This Row],[_LeafFcstStart]],Tasks[[#This Row],[_AlapShift]],WorkWeek,Holidays)))</f>
        <v/>
      </c>
      <c r="DI106" s="101" t="str">
        <f aca="false">IF(NOT(Tasks[[#This Row],[_IsLeaf]]=1),"",IF(Tasks[[#This Row],[_AlapShift]]=0,Tasks[[#This Row],[_LeafFcstFinish]],WORKDAY.INTL(Tasks[[#This Row],[_LeafFcstFinish]],Tasks[[#This Row],[_AlapShift]],WorkWeek,Holidays)))</f>
        <v/>
      </c>
      <c r="DJ106" s="101" t="str">
        <f aca="false">IF(Tasks[[#This Row],[Task Name]]="","",IF(Tasks[[#This Row],[_IsSummary]],MIN(INDEX(Tasks[_ShownCalcStart],Tasks[[#This Row],[_Row]]+1):INDEX(Tasks[_ShownCalcStart],Tasks[[#This Row],[_Row]]+Tasks[[#This Row],[_Descendants]])),Tasks[[#This Row],[_ShownCalcStart]]))</f>
        <v/>
      </c>
      <c r="DK106" s="101" t="str">
        <f aca="false">IF(Tasks[[#This Row],[Task Name]]="","",IF(Tasks[[#This Row],[_IsSummary]],MAX(INDEX(Tasks[_ShownCalcFinish],Tasks[[#This Row],[_Row]]+1):INDEX(Tasks[_ShownCalcFinish],Tasks[[#This Row],[_Row]]+Tasks[[#This Row],[_Descendants]])),Tasks[[#This Row],[_ShownCalcFinish]]))</f>
        <v/>
      </c>
      <c r="D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6" s="41" t="n">
        <f aca="false">IF(AND(Tasks[[#This Row],[_IsLeaf]]=1,Tasks[[#This Row],[_LeafTotalWork]]&gt;0),NETWORKDAYS.INTL(ProjectStart,Tasks[[#This Row],[_ShownFcstStart]],WorkWeek,Holidays),0)</f>
        <v>0</v>
      </c>
      <c r="DY106" s="41" t="n">
        <f aca="false">IF(AND(Tasks[[#This Row],[_IsLeaf]]=1,Tasks[[#This Row],[_LeafTotalWork]]&gt;0),MAX(Tasks[[#This Row],[_StartWorkday]],NETWORKDAYS.INTL(ProjectStart,Tasks[[#This Row],[_ShownFcstFinish]],WorkWeek,Holidays)),0)</f>
        <v>0</v>
      </c>
      <c r="DZ106" s="41" t="n">
        <f aca="false">IF(AND(Tasks[[#This Row],[_IsLeaf]]=1,Tasks[[#This Row],[_LeafTotalWork]]&gt;0),Tasks[[#This Row],[_LeafWork]]/(Tasks[[#This Row],[_FinishWorkday]]-Tasks[[#This Row],[_StartWorkday]]+1),0)</f>
        <v>0</v>
      </c>
      <c r="EA106" s="41" t="n">
        <f aca="false">Tasks[[#This Row],[_WorkPerWorkday]]*(Tasks[[#This Row],[_StartWorkday]]-1)</f>
        <v>-0</v>
      </c>
      <c r="EB106" s="41" t="n">
        <f aca="false">IF(Tasks[[#This Row],[_IsLeaf]]=1,MAX(N(Tasks[[#This Row],[Duration]]),0.1),0)</f>
        <v>0</v>
      </c>
      <c r="EC106" s="41" t="n">
        <f aca="false">Tasks[[#This Row],[_WeightDur]]*Tasks[[#This Row],[_LeafProgress]]</f>
        <v>0</v>
      </c>
      <c r="ED10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6" s="41" t="str">
        <f aca="false">IF(AND(Tasks[[#This Row],[_IsLeaf]]=1,N(Tasks[[#This Row],[Duration]])=0,Tasks[[#This Row],[_LeafProgress]]&lt;1),Tasks[[#This Row],[_ShownFcstFinish]]+Tasks[[#This Row],[_Row]]/100000,"")</f>
        <v/>
      </c>
      <c r="EF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6" s="41" t="n">
        <f aca="false">IF(NOT(Tasks[[#This Row],[_IsLeaf]]=1),0,IF(Tasks[[#This Row],[Baseline Cost]]="",Tasks[[#This Row],[_LeafTotalCost]],N(Tasks[[#This Row],[Baseline Cost]])))</f>
        <v>0</v>
      </c>
      <c r="EH106" s="41" t="n">
        <f aca="false">Tasks[[#This Row],[_LeafBudget]]*Tasks[[#This Row],[_PlannedPct]]</f>
        <v>0</v>
      </c>
      <c r="EI106" s="41" t="n">
        <f aca="false">Tasks[[#This Row],[_LeafBudget]]*Tasks[[#This Row],[_LeafProgress]]</f>
        <v>0</v>
      </c>
      <c r="EJ106" s="41" t="n">
        <f aca="false">IF(NOT(Tasks[[#This Row],[_IsLeaf]]=1),0,IF(Tasks[[#This Row],[Actual Cost]]="",Tasks[[#This Row],[_LeafTotalCost]]*Tasks[[#This Row],[_LeafProgress]],N(Tasks[[#This Row],[Actual Cost]])))</f>
        <v>0</v>
      </c>
      <c r="EK106" s="41" t="str">
        <f aca="false">IF(Tasks[[#This Row],[Task Name]]="","",LEFT(Tasks[[#This Row],[WBS]],FIND(".",Tasks[[#This Row],[WBS]]&amp;".")-1))</f>
        <v/>
      </c>
      <c r="EL106" s="41" t="str">
        <f aca="false">IF(AND(Tasks[[#This Row],[Task Name]]&lt;&gt;"",Tasks[[#This Row],[_Level]]=1),Tasks[[#This Row],[_Row]],"")</f>
        <v/>
      </c>
      <c r="EM106" s="41" t="str">
        <f aca="false">IF(AND(Tasks[[#This Row],[_IsLeaf]]=1,N(Tasks[[#This Row],[Duration]])=0),Tasks[[#This Row],[Planned Finish]]+Tasks[[#This Row],[_Row]]/100000,"")</f>
        <v/>
      </c>
      <c r="EN106" s="41" t="str">
        <f aca="false">IF(AND(Tasks[[#This Row],[_IsLeaf]]=1,Tasks[[#This Row],[_LeafProgress]]&lt;1,OR(N(Tasks[[#This Row],[Finish Var]])&gt;0,Tasks[[#This Row],[Status]]="Late Start")),MAX(0,Tasks[[#This Row],[Finish Var]])+1-Tasks[[#This Row],[_Row]]/1000000,"")</f>
        <v/>
      </c>
      <c r="EO106" s="41" t="str">
        <f aca="false">IF(AND(Tasks[[#This Row],[_IsLeaf]]=1,N(Tasks[[#This Row],[Actual Start]])=0,Tasks[[#This Row],[_ShownFcstStart]]&gt;=StatusDate,Tasks[[#This Row],[_ShownFcstStart]]&lt;=LookaheadEnd),Tasks[[#This Row],[_ShownFcstStart]]+Tasks[[#This Row],[_Row]]/100000,"")</f>
        <v/>
      </c>
      <c r="EP106" s="41" t="str">
        <f aca="false">IF(AND(Tasks[[#This Row],[_IsLeaf]]=1,Tasks[[#This Row],[_LeafProgress]]&lt;1,Tasks[[#This Row],[_ShownFcstFinish]]&gt;=StatusDate,Tasks[[#This Row],[_ShownFcstFinish]]&lt;=LookaheadEnd),Tasks[[#This Row],[_ShownFcstFinish]]+Tasks[[#This Row],[_Row]]/100000,"")</f>
        <v/>
      </c>
      <c r="EQ106" s="41" t="str">
        <f aca="false">IF(Tasks[[#This Row],[_LeafCritical]],Tasks[[#This Row],[_ShownFcstStart]]+Tasks[[#This Row],[_Row]]/100000,"")</f>
        <v/>
      </c>
      <c r="ER106" s="41" t="n">
        <f aca="false">Tasks[[#This Row],[_LeafWork]]*Tasks[[#This Row],[_LeafProgress]]</f>
        <v>0</v>
      </c>
      <c r="ES106" s="101" t="str">
        <f aca="false">IF(AND(Tasks[[#This Row],[_IsLeaf]]=1,Tasks[[#This Row],[_LeafProgress]]&gt;=1),IF(N(Tasks[[#This Row],[Actual Finish]])&gt;0,Tasks[[#This Row],[Actual Finish]],Tasks[[#This Row],[_ShownFcstFinish]]),"")</f>
        <v/>
      </c>
      <c r="ET106" s="41" t="n">
        <f aca="false">IF(Tasks[[#This Row],[_IsLeaf]]=1,N(Tasks[[#This Row],[Story Points]]),0)</f>
        <v>0</v>
      </c>
      <c r="EU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29"/>
      <c r="O107" s="29"/>
      <c r="P107" s="29"/>
      <c r="Q107" s="29"/>
      <c r="R107" s="29"/>
      <c r="S107" s="29"/>
      <c r="T107" s="30"/>
      <c r="U107" s="75"/>
      <c r="V107" s="75"/>
      <c r="W107" s="25" t="str">
        <f aca="false">IF(Tasks[[#This Row],[Task Name]]="","",IF(N(Tasks[[#This Row],[Baseline Start]])&gt;0,Tasks[[#This Row],[Baseline Start]],Tasks[[#This Row],[_CalcStart]]))</f>
        <v/>
      </c>
      <c r="X107" s="25" t="str">
        <f aca="false">IF(Tasks[[#This Row],[Task Name]]="","",IF(N(Tasks[[#This Row],[Baseline Finish]])&gt;0,Tasks[[#This Row],[Baseline Finish]],Tasks[[#This Row],[_CalcFinish]]))</f>
        <v/>
      </c>
      <c r="Y107" s="75"/>
      <c r="Z107" s="75"/>
      <c r="AA107" s="25" t="str">
        <f aca="false">IF(Tasks[[#This Row],[Task Name]]="","",IF(Tasks[[#This Row],[_IsSummary]],MIN(INDEX(Tasks[_ShownFcstStart],Tasks[[#This Row],[_Row]]+1):INDEX(Tasks[_ShownFcstStart],Tasks[[#This Row],[_Row]]+Tasks[[#This Row],[_Descendants]])),Tasks[[#This Row],[_ShownFcstStart]]))</f>
        <v/>
      </c>
      <c r="AB107" s="25" t="str">
        <f aca="false">IF(Tasks[[#This Row],[Task Name]]="","",IF(Tasks[[#This Row],[_IsSummary]],MAX(INDEX(Tasks[_ShownFcstFinish],Tasks[[#This Row],[_Row]]+1):INDEX(Tasks[_ShownFcstFinish],Tasks[[#This Row],[_Row]]+Tasks[[#This Row],[_Descendants]])),Tasks[[#This Row],[_ShownFcstFinish]]))</f>
        <v/>
      </c>
      <c r="AC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7" s="25" t="str">
        <f aca="false">IF(Tasks[[#This Row],[Task Name]]="","",IF(Tasks[[#This Row],[_IsSummary]],MIN(INDEX(Tasks[_LeafLateStart],Tasks[[#This Row],[_Row]]+1):INDEX(Tasks[_LeafLateStart],Tasks[[#This Row],[_Row]]+Tasks[[#This Row],[_Descendants]])),Tasks[[#This Row],[_LeafLateStart]]))</f>
        <v/>
      </c>
      <c r="AF107" s="25" t="str">
        <f aca="false">IF(Tasks[[#This Row],[Task Name]]="","",IF(Tasks[[#This Row],[_IsSummary]],MAX(INDEX(Tasks[_LeafLateFinish],Tasks[[#This Row],[_Row]]+1):INDEX(Tasks[_LeafLateFinish],Tasks[[#This Row],[_Row]]+Tasks[[#This Row],[_Descendants]])),Tasks[[#This Row],[_LeafLateFinish]]))</f>
        <v/>
      </c>
      <c r="AG107" s="28" t="str">
        <f aca="false">IF(Tasks[[#This Row],[Task Name]]="","",IF(Tasks[[#This Row],[_IsSummary]],MIN(INDEX(Tasks[_LeafTotalSlack],Tasks[[#This Row],[_Row]]+1):INDEX(Tasks[_LeafTotalSlack],Tasks[[#This Row],[_Row]]+Tasks[[#This Row],[_Descendants]])),Tasks[[#This Row],[_LeafTotalSlack]]))</f>
        <v/>
      </c>
      <c r="AH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7" s="28" t="str">
        <f aca="false">IF(Tasks[[#This Row],[Task Name]]="","",IF(IF(Tasks[[#This Row],[_IsSummary]],COUNTIF(INDEX(Tasks[_LeafCritical],Tasks[[#This Row],[_Row]]+1):INDEX(Tasks[_LeafCritical],Tasks[[#This Row],[_Row]]+Tasks[[#This Row],[_Descendants]]),TRUE())&gt;0,Tasks[[#This Row],[_LeafCritical]]),"Yes",""))</f>
        <v/>
      </c>
      <c r="AJ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7" s="89"/>
      <c r="AM10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7" s="28" t="str">
        <f aca="false">IF(Tasks[[#This Row],[Task Name]]="","",IF(Tasks[[#This Row],[Progress]]&gt;=1,"Complete",IF(OR(N(Tasks[[#This Row],[Actual Start]])&gt;0,Tasks[[#This Row],[Progress]]&gt;0),IF(Tasks[[#This Row],[Finish Var]]&gt;0,"Behind","In Progress"),IF(Tasks[[#This Row],[Planned Start]]&lt;StatusDate,"Late Start","Not Started"))))</f>
        <v/>
      </c>
      <c r="AO107" s="30"/>
      <c r="AP107" s="89"/>
      <c r="AQ10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7" s="96" t="str">
        <f aca="false">IF(Tasks[[#This Row],[Task Name]]="","",IF(Tasks[[#This Row],[_IsSummary]],SUM(INDEX(Tasks[_LeafTotalWork],Tasks[[#This Row],[_Row]]+1):INDEX(Tasks[_LeafTotalWork],Tasks[[#This Row],[_Row]]+Tasks[[#This Row],[_Descendants]])),Tasks[[#This Row],[_LeafTotalWork]]))</f>
        <v/>
      </c>
      <c r="AT107" s="97" t="str">
        <f aca="false">IF(Tasks[[#This Row],[Task Name]]="","",IF(Tasks[[#This Row],[_IsSummary]],SUM(INDEX(Tasks[_LeafTotalCost],Tasks[[#This Row],[_Row]]+1):INDEX(Tasks[_LeafTotalCost],Tasks[[#This Row],[_Row]]+Tasks[[#This Row],[_Descendants]])),Tasks[[#This Row],[_LeafTotalCost]]))</f>
        <v/>
      </c>
      <c r="AU107" s="98"/>
      <c r="AV107" s="29"/>
      <c r="AW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7" s="83"/>
      <c r="AY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7" s="30"/>
      <c r="BA107" s="25" t="str">
        <f aca="false">IF(Tasks[[#This Row],[Task Name]]="","",Tasks[[#This Row],[Forecast Start]])</f>
        <v/>
      </c>
      <c r="BB107" s="25" t="str">
        <f aca="false">IF(Tasks[[#This Row],[Task Name]]="","",Tasks[[#This Row],[Forecast Finish]])</f>
        <v/>
      </c>
      <c r="BC107" s="28" t="str">
        <f aca="false">IF(Tasks[[#This Row],[Task Name]]="","",IF(Tasks[[#This Row],[_IsSummary]],NETWORKDAYS.INTL(Tasks[[#This Row],[Forecast Start]],Tasks[[#This Row],[Forecast Finish]],WorkWeek,Holidays),N(Tasks[[#This Row],[Duration]])))</f>
        <v/>
      </c>
      <c r="BD107" s="96" t="str">
        <f aca="false">IF(Tasks[[#This Row],[Task Name]]="","",Tasks[[#This Row],[Work]])</f>
        <v/>
      </c>
      <c r="BE107" s="97" t="str">
        <f aca="false">IF(Tasks[[#This Row],[Task Name]]="","",Tasks[[#This Row],[Cost]])</f>
        <v/>
      </c>
      <c r="BF107" s="75"/>
      <c r="BG107" s="75"/>
      <c r="BH107" s="29"/>
      <c r="BI107" s="99"/>
      <c r="BJ107" s="98"/>
      <c r="BK107" s="28" t="str">
        <f aca="false">IF(OR(Tasks[[#This Row],[Task Name]]="",Tasks[[#This Row],[Baseline Duration]]=""),"",Tasks[[#This Row],[BL Source Duration]]-N(Tasks[[#This Row],[Baseline Duration]]))</f>
        <v/>
      </c>
      <c r="BL107" s="96" t="str">
        <f aca="false">IF(OR(Tasks[[#This Row],[Task Name]]="",Tasks[[#This Row],[Baseline Work]]=""),"",Tasks[[#This Row],[Work]]-N(Tasks[[#This Row],[Baseline Work]]))</f>
        <v/>
      </c>
      <c r="BM107" s="97" t="str">
        <f aca="false">IF(OR(Tasks[[#This Row],[Task Name]]="",Tasks[[#This Row],[Baseline Cost]]=""),"",Tasks[[#This Row],[Cost]]-N(Tasks[[#This Row],[Baseline Cost]]))</f>
        <v/>
      </c>
      <c r="BN107" s="97" t="str">
        <f aca="false">IF(Tasks[[#This Row],[Task Name]]="","",IF(Tasks[[#This Row],[_IsSummary]],SUM(INDEX(Tasks[_LeafBudget],Tasks[[#This Row],[_Row]]+1):INDEX(Tasks[_LeafBudget],Tasks[[#This Row],[_Row]]+Tasks[[#This Row],[_Descendants]])),Tasks[[#This Row],[_LeafBudget]]))</f>
        <v/>
      </c>
      <c r="BO107" s="97" t="str">
        <f aca="false">IF(Tasks[[#This Row],[Task Name]]="","",IF(Tasks[[#This Row],[_IsSummary]],SUM(INDEX(Tasks[_LeafPV],Tasks[[#This Row],[_Row]]+1):INDEX(Tasks[_LeafPV],Tasks[[#This Row],[_Row]]+Tasks[[#This Row],[_Descendants]])),Tasks[[#This Row],[_LeafPV]]))</f>
        <v/>
      </c>
      <c r="BP107" s="97" t="str">
        <f aca="false">IF(Tasks[[#This Row],[Task Name]]="","",IF(Tasks[[#This Row],[_IsSummary]],SUM(INDEX(Tasks[_LeafEV],Tasks[[#This Row],[_Row]]+1):INDEX(Tasks[_LeafEV],Tasks[[#This Row],[_Row]]+Tasks[[#This Row],[_Descendants]])),Tasks[[#This Row],[_LeafEV]]))</f>
        <v/>
      </c>
      <c r="BQ107" s="97" t="str">
        <f aca="false">IF(Tasks[[#This Row],[Task Name]]="","",IF(Tasks[[#This Row],[_IsSummary]],SUM(INDEX(Tasks[_LeafAC],Tasks[[#This Row],[_Row]]+1):INDEX(Tasks[_LeafAC],Tasks[[#This Row],[_Row]]+Tasks[[#This Row],[_Descendants]])),Tasks[[#This Row],[_LeafAC]]))</f>
        <v/>
      </c>
      <c r="BR107" s="41" t="str">
        <f aca="false">IF(Tasks[[#This Row],[Task Name]]="","",MAX(1,N(Tasks[[#This Row],[Level]])))</f>
        <v/>
      </c>
      <c r="BS107" s="41" t="n">
        <f aca="false">ROW()-ROW(Tasks[[#Headers],[ID]])</f>
        <v>102</v>
      </c>
      <c r="BT107" s="41" t="n">
        <f aca="false">IF(OR(Tasks[[#This Row],[Task Name]]="",Tasks[[#This Row],[_Level]]&lt;=1),0,IFERROR(LOOKUP(2,1/(Tasks[[#Headers],[_Level]]:Tasks[[#This Row],[_Level]]=Tasks[[#This Row],[_Level]]-1),ROW(Tasks[[#Headers],[_Level]]:Tasks[[#This Row],[_Level]])),0))</f>
        <v>0</v>
      </c>
      <c r="BU107" s="41" t="n">
        <f aca="false">IFERROR(N(INDEX(Tasks[_Level],Tasks[[#This Row],[_Row]]+1)),0)</f>
        <v>0</v>
      </c>
      <c r="BV107" s="100" t="b">
        <f aca="false">AND(Tasks[[#This Row],[Task Name]]&lt;&gt;"",Tasks[[#This Row],[_NextLevel]]&gt;Tasks[[#This Row],[_Level]])</f>
        <v>0</v>
      </c>
      <c r="BW107" s="41" t="n">
        <f aca="false">IF(Tasks[[#This Row],[_IsSummary]],COUNTIF(Tasks[WBS],Tasks[[#This Row],[WBS]]&amp;".*"),0)</f>
        <v>0</v>
      </c>
      <c r="BX107" s="41" t="n">
        <f aca="false">IF(AND(Tasks[[#This Row],[Task Name]]&lt;&gt;"",NOT(Tasks[[#This Row],[_IsSummary]])),1,0)</f>
        <v>0</v>
      </c>
      <c r="BY107" s="41" t="n">
        <f aca="false">IF(N(Tasks[[#This Row],[Pred1 UID]])=0,0,IFERROR(MATCH(Tasks[[#This Row],[Pred1 UID]],Tasks[UID],0),-1))</f>
        <v>0</v>
      </c>
      <c r="BZ107" s="41" t="n">
        <f aca="false">IF(N(Tasks[[#This Row],[Pred2 UID]])=0,0,IFERROR(MATCH(Tasks[[#This Row],[Pred2 UID]],Tasks[UID],0),-1))</f>
        <v>0</v>
      </c>
      <c r="CA107" s="41" t="n">
        <f aca="false">IF(N(Tasks[[#This Row],[Pred3 UID]])=0,0,IFERROR(MATCH(Tasks[[#This Row],[Pred3 UID]],Tasks[UID],0),-1))</f>
        <v>0</v>
      </c>
      <c r="CB107" s="41" t="n">
        <f aca="false">IF(N(Tasks[[#This Row],[Pred4 UID]])=0,0,IFERROR(MATCH(Tasks[[#This Row],[Pred4 UID]],Tasks[UID],0),-1))</f>
        <v>0</v>
      </c>
      <c r="CC10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7" s="101" t="n">
        <f aca="false">IF(OR(Tasks[[#This Row],[_ConstraintCode]]=2,Tasks[[#This Row],[_ConstraintCode]]=3,Tasks[[#This Row],[_ConstraintCode]]=4,Tasks[[#This Row],[_ConstraintCode]]=6),Tasks[[#This Row],[_ConstraintStart]],0)</f>
        <v>0</v>
      </c>
      <c r="CF107" s="101" t="n">
        <f aca="false">IF(OR(Tasks[[#This Row],[_ConstraintCode]]=2,Tasks[[#This Row],[_ConstraintCode]]=3,Tasks[[#This Row],[_ConstraintCode]]=5,Tasks[[#This Row],[_ConstraintCode]]=7),Tasks[[#This Row],[_ConstraintStart]],2958465)</f>
        <v>2958465</v>
      </c>
      <c r="CG10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7" s="101" t="str">
        <f aca="false">IF(NOT(Tasks[[#This Row],[_IsLeaf]]=1),"",IF(N(Tasks[[#This Row],[Duration]])&lt;=0,Tasks[[#This Row],[_LeafCalcStart]],WORKDAY.INTL(Tasks[[#This Row],[_LeafCalcStart]],Tasks[[#This Row],[Duration]]-1,WorkWeek,Holidays)))</f>
        <v/>
      </c>
      <c r="CI10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7" s="41" t="n">
        <f aca="false">IF(NOT(Tasks[[#This Row],[_IsLeaf]]=1),0,IF(N(Tasks[[#This Row],[Actual Finish]])&gt;0,1,MIN(1,N(Tasks[[#This Row],[% Complete]]))))</f>
        <v>0</v>
      </c>
      <c r="CL107" s="41" t="n">
        <f aca="false">IF(OR(NOT(Tasks[[#This Row],[_IsLeaf]]=1),Tasks[[#This Row],[Resource]]=""),0,N(Tasks[[#This Row],[Duration]])*HoursPerDay*IF(Tasks[[#This Row],[Units]]="",DefaultUnits,Tasks[[#This Row],[Units]]))</f>
        <v>0</v>
      </c>
      <c r="CM107" s="41" t="n">
        <f aca="false">IF(Tasks[[#This Row],[_LeafWork]]=0,0,Tasks[[#This Row],[_LeafWork]]*IFERROR(INDEX(res_Rate,MATCH(Tasks[[#This Row],[Resource]],res_Name,0)),0))</f>
        <v>0</v>
      </c>
      <c r="CN107" s="41" t="n">
        <f aca="false">Tasks[[#This Row],[_LeafWork]]+IF(Tasks[[#This Row],[_IsLeaf]]=1,SUMIFS(asg_Work,asg_TaskUID,Tasks[[#This Row],[UID]],asg_Valid,1),0)</f>
        <v>0</v>
      </c>
      <c r="CO107" s="41" t="n">
        <f aca="false">Tasks[[#This Row],[_LeafCost]]+IF(Tasks[[#This Row],[_IsLeaf]]=1,SUMIFS(asg_Cost,asg_TaskUID,Tasks[[#This Row],[UID]],asg_Valid,1),0)</f>
        <v>0</v>
      </c>
      <c r="CP107" s="41" t="n">
        <f aca="false">IF(Tasks[[#This Row],[_LeafTotalCost]]=0,Tasks[[#This Row],[_LeafAC]],Tasks[[#This Row],[_LeafAC]]*Tasks[[#This Row],[_LeafCost]]/Tasks[[#This Row],[_LeafTotalCost]])</f>
        <v>0</v>
      </c>
      <c r="CQ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7" s="41" t="n">
        <f aca="false">IF(NOT(Tasks[[#This Row],[_IsLeaf]]=1),0,MAX(_xlfn.MAXIFS(Tasks[_Row],Tasks[Pred1 UID],Tasks[[#This Row],[UID]]),_xlfn.MAXIFS(Tasks[_Row],Tasks[Pred2 UID],Tasks[[#This Row],[UID]]),_xlfn.MAXIFS(Tasks[_Row],Tasks[Pred3 UID],Tasks[[#This Row],[UID]]),_xlfn.MAXIFS(Tasks[_Row],Tasks[Pred4 UID],Tasks[[#This Row],[UID]])))</f>
        <v>0</v>
      </c>
      <c r="CZ10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7" s="101" t="str">
        <f aca="false">IF(NOT(Tasks[[#This Row],[_IsLeaf]]=1),"",IF(N(Tasks[[#This Row],[Duration]])&lt;=0,Tasks[[#This Row],[_LeafLateFinish]],WORKDAY.INTL(Tasks[[#This Row],[_LeafLateFinish]],-(Tasks[[#This Row],[Duration]]-1),WorkWeek,Holidays)))</f>
        <v/>
      </c>
      <c r="DC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7" s="100" t="b">
        <f aca="false">AND(Tasks[[#This Row],[_IsLeaf]]=1,Tasks[[#This Row],[_LeafProgress]]&lt;1,N(Tasks[[#This Row],[_LeafTotalSlack]])&lt;=CriticalSlackDays)</f>
        <v>0</v>
      </c>
      <c r="DE107" s="41" t="n">
        <f aca="false">IF(AND(Tasks[[#This Row],[_IsLeaf]]=1,Tasks[[#This Row],[_ConstraintCode]]=1,Tasks[[#This Row],[Mode]]&lt;&gt;"Manual",N(Tasks[[#This Row],[Actual Start]])=0),MAX(0,N(Tasks[[#This Row],[Free Slack]])),0)</f>
        <v>0</v>
      </c>
      <c r="DF107" s="101" t="str">
        <f aca="false">IF(NOT(Tasks[[#This Row],[_IsLeaf]]=1),"",IF(Tasks[[#This Row],[_AlapShift]]=0,Tasks[[#This Row],[_LeafCalcStart]],WORKDAY.INTL(Tasks[[#This Row],[_LeafCalcStart]],Tasks[[#This Row],[_AlapShift]],WorkWeek,Holidays)))</f>
        <v/>
      </c>
      <c r="DG107" s="101" t="str">
        <f aca="false">IF(NOT(Tasks[[#This Row],[_IsLeaf]]=1),"",IF(Tasks[[#This Row],[_AlapShift]]=0,Tasks[[#This Row],[_LeafCalcFinish]],WORKDAY.INTL(Tasks[[#This Row],[_LeafCalcFinish]],Tasks[[#This Row],[_AlapShift]],WorkWeek,Holidays)))</f>
        <v/>
      </c>
      <c r="DH107" s="101" t="str">
        <f aca="false">IF(NOT(Tasks[[#This Row],[_IsLeaf]]=1),"",IF(Tasks[[#This Row],[_AlapShift]]=0,Tasks[[#This Row],[_LeafFcstStart]],WORKDAY.INTL(Tasks[[#This Row],[_LeafFcstStart]],Tasks[[#This Row],[_AlapShift]],WorkWeek,Holidays)))</f>
        <v/>
      </c>
      <c r="DI107" s="101" t="str">
        <f aca="false">IF(NOT(Tasks[[#This Row],[_IsLeaf]]=1),"",IF(Tasks[[#This Row],[_AlapShift]]=0,Tasks[[#This Row],[_LeafFcstFinish]],WORKDAY.INTL(Tasks[[#This Row],[_LeafFcstFinish]],Tasks[[#This Row],[_AlapShift]],WorkWeek,Holidays)))</f>
        <v/>
      </c>
      <c r="DJ107" s="101" t="str">
        <f aca="false">IF(Tasks[[#This Row],[Task Name]]="","",IF(Tasks[[#This Row],[_IsSummary]],MIN(INDEX(Tasks[_ShownCalcStart],Tasks[[#This Row],[_Row]]+1):INDEX(Tasks[_ShownCalcStart],Tasks[[#This Row],[_Row]]+Tasks[[#This Row],[_Descendants]])),Tasks[[#This Row],[_ShownCalcStart]]))</f>
        <v/>
      </c>
      <c r="DK107" s="101" t="str">
        <f aca="false">IF(Tasks[[#This Row],[Task Name]]="","",IF(Tasks[[#This Row],[_IsSummary]],MAX(INDEX(Tasks[_ShownCalcFinish],Tasks[[#This Row],[_Row]]+1):INDEX(Tasks[_ShownCalcFinish],Tasks[[#This Row],[_Row]]+Tasks[[#This Row],[_Descendants]])),Tasks[[#This Row],[_ShownCalcFinish]]))</f>
        <v/>
      </c>
      <c r="D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7" s="41" t="n">
        <f aca="false">IF(AND(Tasks[[#This Row],[_IsLeaf]]=1,Tasks[[#This Row],[_LeafTotalWork]]&gt;0),NETWORKDAYS.INTL(ProjectStart,Tasks[[#This Row],[_ShownFcstStart]],WorkWeek,Holidays),0)</f>
        <v>0</v>
      </c>
      <c r="DY107" s="41" t="n">
        <f aca="false">IF(AND(Tasks[[#This Row],[_IsLeaf]]=1,Tasks[[#This Row],[_LeafTotalWork]]&gt;0),MAX(Tasks[[#This Row],[_StartWorkday]],NETWORKDAYS.INTL(ProjectStart,Tasks[[#This Row],[_ShownFcstFinish]],WorkWeek,Holidays)),0)</f>
        <v>0</v>
      </c>
      <c r="DZ107" s="41" t="n">
        <f aca="false">IF(AND(Tasks[[#This Row],[_IsLeaf]]=1,Tasks[[#This Row],[_LeafTotalWork]]&gt;0),Tasks[[#This Row],[_LeafWork]]/(Tasks[[#This Row],[_FinishWorkday]]-Tasks[[#This Row],[_StartWorkday]]+1),0)</f>
        <v>0</v>
      </c>
      <c r="EA107" s="41" t="n">
        <f aca="false">Tasks[[#This Row],[_WorkPerWorkday]]*(Tasks[[#This Row],[_StartWorkday]]-1)</f>
        <v>-0</v>
      </c>
      <c r="EB107" s="41" t="n">
        <f aca="false">IF(Tasks[[#This Row],[_IsLeaf]]=1,MAX(N(Tasks[[#This Row],[Duration]]),0.1),0)</f>
        <v>0</v>
      </c>
      <c r="EC107" s="41" t="n">
        <f aca="false">Tasks[[#This Row],[_WeightDur]]*Tasks[[#This Row],[_LeafProgress]]</f>
        <v>0</v>
      </c>
      <c r="ED10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7" s="41" t="str">
        <f aca="false">IF(AND(Tasks[[#This Row],[_IsLeaf]]=1,N(Tasks[[#This Row],[Duration]])=0,Tasks[[#This Row],[_LeafProgress]]&lt;1),Tasks[[#This Row],[_ShownFcstFinish]]+Tasks[[#This Row],[_Row]]/100000,"")</f>
        <v/>
      </c>
      <c r="EF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7" s="41" t="n">
        <f aca="false">IF(NOT(Tasks[[#This Row],[_IsLeaf]]=1),0,IF(Tasks[[#This Row],[Baseline Cost]]="",Tasks[[#This Row],[_LeafTotalCost]],N(Tasks[[#This Row],[Baseline Cost]])))</f>
        <v>0</v>
      </c>
      <c r="EH107" s="41" t="n">
        <f aca="false">Tasks[[#This Row],[_LeafBudget]]*Tasks[[#This Row],[_PlannedPct]]</f>
        <v>0</v>
      </c>
      <c r="EI107" s="41" t="n">
        <f aca="false">Tasks[[#This Row],[_LeafBudget]]*Tasks[[#This Row],[_LeafProgress]]</f>
        <v>0</v>
      </c>
      <c r="EJ107" s="41" t="n">
        <f aca="false">IF(NOT(Tasks[[#This Row],[_IsLeaf]]=1),0,IF(Tasks[[#This Row],[Actual Cost]]="",Tasks[[#This Row],[_LeafTotalCost]]*Tasks[[#This Row],[_LeafProgress]],N(Tasks[[#This Row],[Actual Cost]])))</f>
        <v>0</v>
      </c>
      <c r="EK107" s="41" t="str">
        <f aca="false">IF(Tasks[[#This Row],[Task Name]]="","",LEFT(Tasks[[#This Row],[WBS]],FIND(".",Tasks[[#This Row],[WBS]]&amp;".")-1))</f>
        <v/>
      </c>
      <c r="EL107" s="41" t="str">
        <f aca="false">IF(AND(Tasks[[#This Row],[Task Name]]&lt;&gt;"",Tasks[[#This Row],[_Level]]=1),Tasks[[#This Row],[_Row]],"")</f>
        <v/>
      </c>
      <c r="EM107" s="41" t="str">
        <f aca="false">IF(AND(Tasks[[#This Row],[_IsLeaf]]=1,N(Tasks[[#This Row],[Duration]])=0),Tasks[[#This Row],[Planned Finish]]+Tasks[[#This Row],[_Row]]/100000,"")</f>
        <v/>
      </c>
      <c r="EN107" s="41" t="str">
        <f aca="false">IF(AND(Tasks[[#This Row],[_IsLeaf]]=1,Tasks[[#This Row],[_LeafProgress]]&lt;1,OR(N(Tasks[[#This Row],[Finish Var]])&gt;0,Tasks[[#This Row],[Status]]="Late Start")),MAX(0,Tasks[[#This Row],[Finish Var]])+1-Tasks[[#This Row],[_Row]]/1000000,"")</f>
        <v/>
      </c>
      <c r="EO107" s="41" t="str">
        <f aca="false">IF(AND(Tasks[[#This Row],[_IsLeaf]]=1,N(Tasks[[#This Row],[Actual Start]])=0,Tasks[[#This Row],[_ShownFcstStart]]&gt;=StatusDate,Tasks[[#This Row],[_ShownFcstStart]]&lt;=LookaheadEnd),Tasks[[#This Row],[_ShownFcstStart]]+Tasks[[#This Row],[_Row]]/100000,"")</f>
        <v/>
      </c>
      <c r="EP107" s="41" t="str">
        <f aca="false">IF(AND(Tasks[[#This Row],[_IsLeaf]]=1,Tasks[[#This Row],[_LeafProgress]]&lt;1,Tasks[[#This Row],[_ShownFcstFinish]]&gt;=StatusDate,Tasks[[#This Row],[_ShownFcstFinish]]&lt;=LookaheadEnd),Tasks[[#This Row],[_ShownFcstFinish]]+Tasks[[#This Row],[_Row]]/100000,"")</f>
        <v/>
      </c>
      <c r="EQ107" s="41" t="str">
        <f aca="false">IF(Tasks[[#This Row],[_LeafCritical]],Tasks[[#This Row],[_ShownFcstStart]]+Tasks[[#This Row],[_Row]]/100000,"")</f>
        <v/>
      </c>
      <c r="ER107" s="41" t="n">
        <f aca="false">Tasks[[#This Row],[_LeafWork]]*Tasks[[#This Row],[_LeafProgress]]</f>
        <v>0</v>
      </c>
      <c r="ES107" s="101" t="str">
        <f aca="false">IF(AND(Tasks[[#This Row],[_IsLeaf]]=1,Tasks[[#This Row],[_LeafProgress]]&gt;=1),IF(N(Tasks[[#This Row],[Actual Finish]])&gt;0,Tasks[[#This Row],[Actual Finish]],Tasks[[#This Row],[_ShownFcstFinish]]),"")</f>
        <v/>
      </c>
      <c r="ET107" s="41" t="n">
        <f aca="false">IF(Tasks[[#This Row],[_IsLeaf]]=1,N(Tasks[[#This Row],[Story Points]]),0)</f>
        <v>0</v>
      </c>
      <c r="EU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29"/>
      <c r="O108" s="29"/>
      <c r="P108" s="29"/>
      <c r="Q108" s="29"/>
      <c r="R108" s="29"/>
      <c r="S108" s="29"/>
      <c r="T108" s="30"/>
      <c r="U108" s="75"/>
      <c r="V108" s="75"/>
      <c r="W108" s="25" t="str">
        <f aca="false">IF(Tasks[[#This Row],[Task Name]]="","",IF(N(Tasks[[#This Row],[Baseline Start]])&gt;0,Tasks[[#This Row],[Baseline Start]],Tasks[[#This Row],[_CalcStart]]))</f>
        <v/>
      </c>
      <c r="X108" s="25" t="str">
        <f aca="false">IF(Tasks[[#This Row],[Task Name]]="","",IF(N(Tasks[[#This Row],[Baseline Finish]])&gt;0,Tasks[[#This Row],[Baseline Finish]],Tasks[[#This Row],[_CalcFinish]]))</f>
        <v/>
      </c>
      <c r="Y108" s="75"/>
      <c r="Z108" s="75"/>
      <c r="AA108" s="25" t="str">
        <f aca="false">IF(Tasks[[#This Row],[Task Name]]="","",IF(Tasks[[#This Row],[_IsSummary]],MIN(INDEX(Tasks[_ShownFcstStart],Tasks[[#This Row],[_Row]]+1):INDEX(Tasks[_ShownFcstStart],Tasks[[#This Row],[_Row]]+Tasks[[#This Row],[_Descendants]])),Tasks[[#This Row],[_ShownFcstStart]]))</f>
        <v/>
      </c>
      <c r="AB108" s="25" t="str">
        <f aca="false">IF(Tasks[[#This Row],[Task Name]]="","",IF(Tasks[[#This Row],[_IsSummary]],MAX(INDEX(Tasks[_ShownFcstFinish],Tasks[[#This Row],[_Row]]+1):INDEX(Tasks[_ShownFcstFinish],Tasks[[#This Row],[_Row]]+Tasks[[#This Row],[_Descendants]])),Tasks[[#This Row],[_ShownFcstFinish]]))</f>
        <v/>
      </c>
      <c r="AC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8" s="25" t="str">
        <f aca="false">IF(Tasks[[#This Row],[Task Name]]="","",IF(Tasks[[#This Row],[_IsSummary]],MIN(INDEX(Tasks[_LeafLateStart],Tasks[[#This Row],[_Row]]+1):INDEX(Tasks[_LeafLateStart],Tasks[[#This Row],[_Row]]+Tasks[[#This Row],[_Descendants]])),Tasks[[#This Row],[_LeafLateStart]]))</f>
        <v/>
      </c>
      <c r="AF108" s="25" t="str">
        <f aca="false">IF(Tasks[[#This Row],[Task Name]]="","",IF(Tasks[[#This Row],[_IsSummary]],MAX(INDEX(Tasks[_LeafLateFinish],Tasks[[#This Row],[_Row]]+1):INDEX(Tasks[_LeafLateFinish],Tasks[[#This Row],[_Row]]+Tasks[[#This Row],[_Descendants]])),Tasks[[#This Row],[_LeafLateFinish]]))</f>
        <v/>
      </c>
      <c r="AG108" s="28" t="str">
        <f aca="false">IF(Tasks[[#This Row],[Task Name]]="","",IF(Tasks[[#This Row],[_IsSummary]],MIN(INDEX(Tasks[_LeafTotalSlack],Tasks[[#This Row],[_Row]]+1):INDEX(Tasks[_LeafTotalSlack],Tasks[[#This Row],[_Row]]+Tasks[[#This Row],[_Descendants]])),Tasks[[#This Row],[_LeafTotalSlack]]))</f>
        <v/>
      </c>
      <c r="AH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8" s="28" t="str">
        <f aca="false">IF(Tasks[[#This Row],[Task Name]]="","",IF(IF(Tasks[[#This Row],[_IsSummary]],COUNTIF(INDEX(Tasks[_LeafCritical],Tasks[[#This Row],[_Row]]+1):INDEX(Tasks[_LeafCritical],Tasks[[#This Row],[_Row]]+Tasks[[#This Row],[_Descendants]]),TRUE())&gt;0,Tasks[[#This Row],[_LeafCritical]]),"Yes",""))</f>
        <v/>
      </c>
      <c r="AJ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8" s="89"/>
      <c r="AM10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8" s="28" t="str">
        <f aca="false">IF(Tasks[[#This Row],[Task Name]]="","",IF(Tasks[[#This Row],[Progress]]&gt;=1,"Complete",IF(OR(N(Tasks[[#This Row],[Actual Start]])&gt;0,Tasks[[#This Row],[Progress]]&gt;0),IF(Tasks[[#This Row],[Finish Var]]&gt;0,"Behind","In Progress"),IF(Tasks[[#This Row],[Planned Start]]&lt;StatusDate,"Late Start","Not Started"))))</f>
        <v/>
      </c>
      <c r="AO108" s="30"/>
      <c r="AP108" s="89"/>
      <c r="AQ10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8" s="96" t="str">
        <f aca="false">IF(Tasks[[#This Row],[Task Name]]="","",IF(Tasks[[#This Row],[_IsSummary]],SUM(INDEX(Tasks[_LeafTotalWork],Tasks[[#This Row],[_Row]]+1):INDEX(Tasks[_LeafTotalWork],Tasks[[#This Row],[_Row]]+Tasks[[#This Row],[_Descendants]])),Tasks[[#This Row],[_LeafTotalWork]]))</f>
        <v/>
      </c>
      <c r="AT108" s="97" t="str">
        <f aca="false">IF(Tasks[[#This Row],[Task Name]]="","",IF(Tasks[[#This Row],[_IsSummary]],SUM(INDEX(Tasks[_LeafTotalCost],Tasks[[#This Row],[_Row]]+1):INDEX(Tasks[_LeafTotalCost],Tasks[[#This Row],[_Row]]+Tasks[[#This Row],[_Descendants]])),Tasks[[#This Row],[_LeafTotalCost]]))</f>
        <v/>
      </c>
      <c r="AU108" s="98"/>
      <c r="AV108" s="29"/>
      <c r="AW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8" s="83"/>
      <c r="AY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8" s="30"/>
      <c r="BA108" s="25" t="str">
        <f aca="false">IF(Tasks[[#This Row],[Task Name]]="","",Tasks[[#This Row],[Forecast Start]])</f>
        <v/>
      </c>
      <c r="BB108" s="25" t="str">
        <f aca="false">IF(Tasks[[#This Row],[Task Name]]="","",Tasks[[#This Row],[Forecast Finish]])</f>
        <v/>
      </c>
      <c r="BC108" s="28" t="str">
        <f aca="false">IF(Tasks[[#This Row],[Task Name]]="","",IF(Tasks[[#This Row],[_IsSummary]],NETWORKDAYS.INTL(Tasks[[#This Row],[Forecast Start]],Tasks[[#This Row],[Forecast Finish]],WorkWeek,Holidays),N(Tasks[[#This Row],[Duration]])))</f>
        <v/>
      </c>
      <c r="BD108" s="96" t="str">
        <f aca="false">IF(Tasks[[#This Row],[Task Name]]="","",Tasks[[#This Row],[Work]])</f>
        <v/>
      </c>
      <c r="BE108" s="97" t="str">
        <f aca="false">IF(Tasks[[#This Row],[Task Name]]="","",Tasks[[#This Row],[Cost]])</f>
        <v/>
      </c>
      <c r="BF108" s="75"/>
      <c r="BG108" s="75"/>
      <c r="BH108" s="29"/>
      <c r="BI108" s="99"/>
      <c r="BJ108" s="98"/>
      <c r="BK108" s="28" t="str">
        <f aca="false">IF(OR(Tasks[[#This Row],[Task Name]]="",Tasks[[#This Row],[Baseline Duration]]=""),"",Tasks[[#This Row],[BL Source Duration]]-N(Tasks[[#This Row],[Baseline Duration]]))</f>
        <v/>
      </c>
      <c r="BL108" s="96" t="str">
        <f aca="false">IF(OR(Tasks[[#This Row],[Task Name]]="",Tasks[[#This Row],[Baseline Work]]=""),"",Tasks[[#This Row],[Work]]-N(Tasks[[#This Row],[Baseline Work]]))</f>
        <v/>
      </c>
      <c r="BM108" s="97" t="str">
        <f aca="false">IF(OR(Tasks[[#This Row],[Task Name]]="",Tasks[[#This Row],[Baseline Cost]]=""),"",Tasks[[#This Row],[Cost]]-N(Tasks[[#This Row],[Baseline Cost]]))</f>
        <v/>
      </c>
      <c r="BN108" s="97" t="str">
        <f aca="false">IF(Tasks[[#This Row],[Task Name]]="","",IF(Tasks[[#This Row],[_IsSummary]],SUM(INDEX(Tasks[_LeafBudget],Tasks[[#This Row],[_Row]]+1):INDEX(Tasks[_LeafBudget],Tasks[[#This Row],[_Row]]+Tasks[[#This Row],[_Descendants]])),Tasks[[#This Row],[_LeafBudget]]))</f>
        <v/>
      </c>
      <c r="BO108" s="97" t="str">
        <f aca="false">IF(Tasks[[#This Row],[Task Name]]="","",IF(Tasks[[#This Row],[_IsSummary]],SUM(INDEX(Tasks[_LeafPV],Tasks[[#This Row],[_Row]]+1):INDEX(Tasks[_LeafPV],Tasks[[#This Row],[_Row]]+Tasks[[#This Row],[_Descendants]])),Tasks[[#This Row],[_LeafPV]]))</f>
        <v/>
      </c>
      <c r="BP108" s="97" t="str">
        <f aca="false">IF(Tasks[[#This Row],[Task Name]]="","",IF(Tasks[[#This Row],[_IsSummary]],SUM(INDEX(Tasks[_LeafEV],Tasks[[#This Row],[_Row]]+1):INDEX(Tasks[_LeafEV],Tasks[[#This Row],[_Row]]+Tasks[[#This Row],[_Descendants]])),Tasks[[#This Row],[_LeafEV]]))</f>
        <v/>
      </c>
      <c r="BQ108" s="97" t="str">
        <f aca="false">IF(Tasks[[#This Row],[Task Name]]="","",IF(Tasks[[#This Row],[_IsSummary]],SUM(INDEX(Tasks[_LeafAC],Tasks[[#This Row],[_Row]]+1):INDEX(Tasks[_LeafAC],Tasks[[#This Row],[_Row]]+Tasks[[#This Row],[_Descendants]])),Tasks[[#This Row],[_LeafAC]]))</f>
        <v/>
      </c>
      <c r="BR108" s="41" t="str">
        <f aca="false">IF(Tasks[[#This Row],[Task Name]]="","",MAX(1,N(Tasks[[#This Row],[Level]])))</f>
        <v/>
      </c>
      <c r="BS108" s="41" t="n">
        <f aca="false">ROW()-ROW(Tasks[[#Headers],[ID]])</f>
        <v>103</v>
      </c>
      <c r="BT108" s="41" t="n">
        <f aca="false">IF(OR(Tasks[[#This Row],[Task Name]]="",Tasks[[#This Row],[_Level]]&lt;=1),0,IFERROR(LOOKUP(2,1/(Tasks[[#Headers],[_Level]]:Tasks[[#This Row],[_Level]]=Tasks[[#This Row],[_Level]]-1),ROW(Tasks[[#Headers],[_Level]]:Tasks[[#This Row],[_Level]])),0))</f>
        <v>0</v>
      </c>
      <c r="BU108" s="41" t="n">
        <f aca="false">IFERROR(N(INDEX(Tasks[_Level],Tasks[[#This Row],[_Row]]+1)),0)</f>
        <v>0</v>
      </c>
      <c r="BV108" s="100" t="b">
        <f aca="false">AND(Tasks[[#This Row],[Task Name]]&lt;&gt;"",Tasks[[#This Row],[_NextLevel]]&gt;Tasks[[#This Row],[_Level]])</f>
        <v>0</v>
      </c>
      <c r="BW108" s="41" t="n">
        <f aca="false">IF(Tasks[[#This Row],[_IsSummary]],COUNTIF(Tasks[WBS],Tasks[[#This Row],[WBS]]&amp;".*"),0)</f>
        <v>0</v>
      </c>
      <c r="BX108" s="41" t="n">
        <f aca="false">IF(AND(Tasks[[#This Row],[Task Name]]&lt;&gt;"",NOT(Tasks[[#This Row],[_IsSummary]])),1,0)</f>
        <v>0</v>
      </c>
      <c r="BY108" s="41" t="n">
        <f aca="false">IF(N(Tasks[[#This Row],[Pred1 UID]])=0,0,IFERROR(MATCH(Tasks[[#This Row],[Pred1 UID]],Tasks[UID],0),-1))</f>
        <v>0</v>
      </c>
      <c r="BZ108" s="41" t="n">
        <f aca="false">IF(N(Tasks[[#This Row],[Pred2 UID]])=0,0,IFERROR(MATCH(Tasks[[#This Row],[Pred2 UID]],Tasks[UID],0),-1))</f>
        <v>0</v>
      </c>
      <c r="CA108" s="41" t="n">
        <f aca="false">IF(N(Tasks[[#This Row],[Pred3 UID]])=0,0,IFERROR(MATCH(Tasks[[#This Row],[Pred3 UID]],Tasks[UID],0),-1))</f>
        <v>0</v>
      </c>
      <c r="CB108" s="41" t="n">
        <f aca="false">IF(N(Tasks[[#This Row],[Pred4 UID]])=0,0,IFERROR(MATCH(Tasks[[#This Row],[Pred4 UID]],Tasks[UID],0),-1))</f>
        <v>0</v>
      </c>
      <c r="CC10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8" s="101" t="n">
        <f aca="false">IF(OR(Tasks[[#This Row],[_ConstraintCode]]=2,Tasks[[#This Row],[_ConstraintCode]]=3,Tasks[[#This Row],[_ConstraintCode]]=4,Tasks[[#This Row],[_ConstraintCode]]=6),Tasks[[#This Row],[_ConstraintStart]],0)</f>
        <v>0</v>
      </c>
      <c r="CF108" s="101" t="n">
        <f aca="false">IF(OR(Tasks[[#This Row],[_ConstraintCode]]=2,Tasks[[#This Row],[_ConstraintCode]]=3,Tasks[[#This Row],[_ConstraintCode]]=5,Tasks[[#This Row],[_ConstraintCode]]=7),Tasks[[#This Row],[_ConstraintStart]],2958465)</f>
        <v>2958465</v>
      </c>
      <c r="CG10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8" s="101" t="str">
        <f aca="false">IF(NOT(Tasks[[#This Row],[_IsLeaf]]=1),"",IF(N(Tasks[[#This Row],[Duration]])&lt;=0,Tasks[[#This Row],[_LeafCalcStart]],WORKDAY.INTL(Tasks[[#This Row],[_LeafCalcStart]],Tasks[[#This Row],[Duration]]-1,WorkWeek,Holidays)))</f>
        <v/>
      </c>
      <c r="CI10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8" s="41" t="n">
        <f aca="false">IF(NOT(Tasks[[#This Row],[_IsLeaf]]=1),0,IF(N(Tasks[[#This Row],[Actual Finish]])&gt;0,1,MIN(1,N(Tasks[[#This Row],[% Complete]]))))</f>
        <v>0</v>
      </c>
      <c r="CL108" s="41" t="n">
        <f aca="false">IF(OR(NOT(Tasks[[#This Row],[_IsLeaf]]=1),Tasks[[#This Row],[Resource]]=""),0,N(Tasks[[#This Row],[Duration]])*HoursPerDay*IF(Tasks[[#This Row],[Units]]="",DefaultUnits,Tasks[[#This Row],[Units]]))</f>
        <v>0</v>
      </c>
      <c r="CM108" s="41" t="n">
        <f aca="false">IF(Tasks[[#This Row],[_LeafWork]]=0,0,Tasks[[#This Row],[_LeafWork]]*IFERROR(INDEX(res_Rate,MATCH(Tasks[[#This Row],[Resource]],res_Name,0)),0))</f>
        <v>0</v>
      </c>
      <c r="CN108" s="41" t="n">
        <f aca="false">Tasks[[#This Row],[_LeafWork]]+IF(Tasks[[#This Row],[_IsLeaf]]=1,SUMIFS(asg_Work,asg_TaskUID,Tasks[[#This Row],[UID]],asg_Valid,1),0)</f>
        <v>0</v>
      </c>
      <c r="CO108" s="41" t="n">
        <f aca="false">Tasks[[#This Row],[_LeafCost]]+IF(Tasks[[#This Row],[_IsLeaf]]=1,SUMIFS(asg_Cost,asg_TaskUID,Tasks[[#This Row],[UID]],asg_Valid,1),0)</f>
        <v>0</v>
      </c>
      <c r="CP108" s="41" t="n">
        <f aca="false">IF(Tasks[[#This Row],[_LeafTotalCost]]=0,Tasks[[#This Row],[_LeafAC]],Tasks[[#This Row],[_LeafAC]]*Tasks[[#This Row],[_LeafCost]]/Tasks[[#This Row],[_LeafTotalCost]])</f>
        <v>0</v>
      </c>
      <c r="CQ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8" s="41" t="n">
        <f aca="false">IF(NOT(Tasks[[#This Row],[_IsLeaf]]=1),0,MAX(_xlfn.MAXIFS(Tasks[_Row],Tasks[Pred1 UID],Tasks[[#This Row],[UID]]),_xlfn.MAXIFS(Tasks[_Row],Tasks[Pred2 UID],Tasks[[#This Row],[UID]]),_xlfn.MAXIFS(Tasks[_Row],Tasks[Pred3 UID],Tasks[[#This Row],[UID]]),_xlfn.MAXIFS(Tasks[_Row],Tasks[Pred4 UID],Tasks[[#This Row],[UID]])))</f>
        <v>0</v>
      </c>
      <c r="CZ10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8" s="101" t="str">
        <f aca="false">IF(NOT(Tasks[[#This Row],[_IsLeaf]]=1),"",IF(N(Tasks[[#This Row],[Duration]])&lt;=0,Tasks[[#This Row],[_LeafLateFinish]],WORKDAY.INTL(Tasks[[#This Row],[_LeafLateFinish]],-(Tasks[[#This Row],[Duration]]-1),WorkWeek,Holidays)))</f>
        <v/>
      </c>
      <c r="DC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8" s="100" t="b">
        <f aca="false">AND(Tasks[[#This Row],[_IsLeaf]]=1,Tasks[[#This Row],[_LeafProgress]]&lt;1,N(Tasks[[#This Row],[_LeafTotalSlack]])&lt;=CriticalSlackDays)</f>
        <v>0</v>
      </c>
      <c r="DE108" s="41" t="n">
        <f aca="false">IF(AND(Tasks[[#This Row],[_IsLeaf]]=1,Tasks[[#This Row],[_ConstraintCode]]=1,Tasks[[#This Row],[Mode]]&lt;&gt;"Manual",N(Tasks[[#This Row],[Actual Start]])=0),MAX(0,N(Tasks[[#This Row],[Free Slack]])),0)</f>
        <v>0</v>
      </c>
      <c r="DF108" s="101" t="str">
        <f aca="false">IF(NOT(Tasks[[#This Row],[_IsLeaf]]=1),"",IF(Tasks[[#This Row],[_AlapShift]]=0,Tasks[[#This Row],[_LeafCalcStart]],WORKDAY.INTL(Tasks[[#This Row],[_LeafCalcStart]],Tasks[[#This Row],[_AlapShift]],WorkWeek,Holidays)))</f>
        <v/>
      </c>
      <c r="DG108" s="101" t="str">
        <f aca="false">IF(NOT(Tasks[[#This Row],[_IsLeaf]]=1),"",IF(Tasks[[#This Row],[_AlapShift]]=0,Tasks[[#This Row],[_LeafCalcFinish]],WORKDAY.INTL(Tasks[[#This Row],[_LeafCalcFinish]],Tasks[[#This Row],[_AlapShift]],WorkWeek,Holidays)))</f>
        <v/>
      </c>
      <c r="DH108" s="101" t="str">
        <f aca="false">IF(NOT(Tasks[[#This Row],[_IsLeaf]]=1),"",IF(Tasks[[#This Row],[_AlapShift]]=0,Tasks[[#This Row],[_LeafFcstStart]],WORKDAY.INTL(Tasks[[#This Row],[_LeafFcstStart]],Tasks[[#This Row],[_AlapShift]],WorkWeek,Holidays)))</f>
        <v/>
      </c>
      <c r="DI108" s="101" t="str">
        <f aca="false">IF(NOT(Tasks[[#This Row],[_IsLeaf]]=1),"",IF(Tasks[[#This Row],[_AlapShift]]=0,Tasks[[#This Row],[_LeafFcstFinish]],WORKDAY.INTL(Tasks[[#This Row],[_LeafFcstFinish]],Tasks[[#This Row],[_AlapShift]],WorkWeek,Holidays)))</f>
        <v/>
      </c>
      <c r="DJ108" s="101" t="str">
        <f aca="false">IF(Tasks[[#This Row],[Task Name]]="","",IF(Tasks[[#This Row],[_IsSummary]],MIN(INDEX(Tasks[_ShownCalcStart],Tasks[[#This Row],[_Row]]+1):INDEX(Tasks[_ShownCalcStart],Tasks[[#This Row],[_Row]]+Tasks[[#This Row],[_Descendants]])),Tasks[[#This Row],[_ShownCalcStart]]))</f>
        <v/>
      </c>
      <c r="DK108" s="101" t="str">
        <f aca="false">IF(Tasks[[#This Row],[Task Name]]="","",IF(Tasks[[#This Row],[_IsSummary]],MAX(INDEX(Tasks[_ShownCalcFinish],Tasks[[#This Row],[_Row]]+1):INDEX(Tasks[_ShownCalcFinish],Tasks[[#This Row],[_Row]]+Tasks[[#This Row],[_Descendants]])),Tasks[[#This Row],[_ShownCalcFinish]]))</f>
        <v/>
      </c>
      <c r="D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8" s="41" t="n">
        <f aca="false">IF(AND(Tasks[[#This Row],[_IsLeaf]]=1,Tasks[[#This Row],[_LeafTotalWork]]&gt;0),NETWORKDAYS.INTL(ProjectStart,Tasks[[#This Row],[_ShownFcstStart]],WorkWeek,Holidays),0)</f>
        <v>0</v>
      </c>
      <c r="DY108" s="41" t="n">
        <f aca="false">IF(AND(Tasks[[#This Row],[_IsLeaf]]=1,Tasks[[#This Row],[_LeafTotalWork]]&gt;0),MAX(Tasks[[#This Row],[_StartWorkday]],NETWORKDAYS.INTL(ProjectStart,Tasks[[#This Row],[_ShownFcstFinish]],WorkWeek,Holidays)),0)</f>
        <v>0</v>
      </c>
      <c r="DZ108" s="41" t="n">
        <f aca="false">IF(AND(Tasks[[#This Row],[_IsLeaf]]=1,Tasks[[#This Row],[_LeafTotalWork]]&gt;0),Tasks[[#This Row],[_LeafWork]]/(Tasks[[#This Row],[_FinishWorkday]]-Tasks[[#This Row],[_StartWorkday]]+1),0)</f>
        <v>0</v>
      </c>
      <c r="EA108" s="41" t="n">
        <f aca="false">Tasks[[#This Row],[_WorkPerWorkday]]*(Tasks[[#This Row],[_StartWorkday]]-1)</f>
        <v>-0</v>
      </c>
      <c r="EB108" s="41" t="n">
        <f aca="false">IF(Tasks[[#This Row],[_IsLeaf]]=1,MAX(N(Tasks[[#This Row],[Duration]]),0.1),0)</f>
        <v>0</v>
      </c>
      <c r="EC108" s="41" t="n">
        <f aca="false">Tasks[[#This Row],[_WeightDur]]*Tasks[[#This Row],[_LeafProgress]]</f>
        <v>0</v>
      </c>
      <c r="ED10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8" s="41" t="str">
        <f aca="false">IF(AND(Tasks[[#This Row],[_IsLeaf]]=1,N(Tasks[[#This Row],[Duration]])=0,Tasks[[#This Row],[_LeafProgress]]&lt;1),Tasks[[#This Row],[_ShownFcstFinish]]+Tasks[[#This Row],[_Row]]/100000,"")</f>
        <v/>
      </c>
      <c r="EF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8" s="41" t="n">
        <f aca="false">IF(NOT(Tasks[[#This Row],[_IsLeaf]]=1),0,IF(Tasks[[#This Row],[Baseline Cost]]="",Tasks[[#This Row],[_LeafTotalCost]],N(Tasks[[#This Row],[Baseline Cost]])))</f>
        <v>0</v>
      </c>
      <c r="EH108" s="41" t="n">
        <f aca="false">Tasks[[#This Row],[_LeafBudget]]*Tasks[[#This Row],[_PlannedPct]]</f>
        <v>0</v>
      </c>
      <c r="EI108" s="41" t="n">
        <f aca="false">Tasks[[#This Row],[_LeafBudget]]*Tasks[[#This Row],[_LeafProgress]]</f>
        <v>0</v>
      </c>
      <c r="EJ108" s="41" t="n">
        <f aca="false">IF(NOT(Tasks[[#This Row],[_IsLeaf]]=1),0,IF(Tasks[[#This Row],[Actual Cost]]="",Tasks[[#This Row],[_LeafTotalCost]]*Tasks[[#This Row],[_LeafProgress]],N(Tasks[[#This Row],[Actual Cost]])))</f>
        <v>0</v>
      </c>
      <c r="EK108" s="41" t="str">
        <f aca="false">IF(Tasks[[#This Row],[Task Name]]="","",LEFT(Tasks[[#This Row],[WBS]],FIND(".",Tasks[[#This Row],[WBS]]&amp;".")-1))</f>
        <v/>
      </c>
      <c r="EL108" s="41" t="str">
        <f aca="false">IF(AND(Tasks[[#This Row],[Task Name]]&lt;&gt;"",Tasks[[#This Row],[_Level]]=1),Tasks[[#This Row],[_Row]],"")</f>
        <v/>
      </c>
      <c r="EM108" s="41" t="str">
        <f aca="false">IF(AND(Tasks[[#This Row],[_IsLeaf]]=1,N(Tasks[[#This Row],[Duration]])=0),Tasks[[#This Row],[Planned Finish]]+Tasks[[#This Row],[_Row]]/100000,"")</f>
        <v/>
      </c>
      <c r="EN108" s="41" t="str">
        <f aca="false">IF(AND(Tasks[[#This Row],[_IsLeaf]]=1,Tasks[[#This Row],[_LeafProgress]]&lt;1,OR(N(Tasks[[#This Row],[Finish Var]])&gt;0,Tasks[[#This Row],[Status]]="Late Start")),MAX(0,Tasks[[#This Row],[Finish Var]])+1-Tasks[[#This Row],[_Row]]/1000000,"")</f>
        <v/>
      </c>
      <c r="EO108" s="41" t="str">
        <f aca="false">IF(AND(Tasks[[#This Row],[_IsLeaf]]=1,N(Tasks[[#This Row],[Actual Start]])=0,Tasks[[#This Row],[_ShownFcstStart]]&gt;=StatusDate,Tasks[[#This Row],[_ShownFcstStart]]&lt;=LookaheadEnd),Tasks[[#This Row],[_ShownFcstStart]]+Tasks[[#This Row],[_Row]]/100000,"")</f>
        <v/>
      </c>
      <c r="EP108" s="41" t="str">
        <f aca="false">IF(AND(Tasks[[#This Row],[_IsLeaf]]=1,Tasks[[#This Row],[_LeafProgress]]&lt;1,Tasks[[#This Row],[_ShownFcstFinish]]&gt;=StatusDate,Tasks[[#This Row],[_ShownFcstFinish]]&lt;=LookaheadEnd),Tasks[[#This Row],[_ShownFcstFinish]]+Tasks[[#This Row],[_Row]]/100000,"")</f>
        <v/>
      </c>
      <c r="EQ108" s="41" t="str">
        <f aca="false">IF(Tasks[[#This Row],[_LeafCritical]],Tasks[[#This Row],[_ShownFcstStart]]+Tasks[[#This Row],[_Row]]/100000,"")</f>
        <v/>
      </c>
      <c r="ER108" s="41" t="n">
        <f aca="false">Tasks[[#This Row],[_LeafWork]]*Tasks[[#This Row],[_LeafProgress]]</f>
        <v>0</v>
      </c>
      <c r="ES108" s="101" t="str">
        <f aca="false">IF(AND(Tasks[[#This Row],[_IsLeaf]]=1,Tasks[[#This Row],[_LeafProgress]]&gt;=1),IF(N(Tasks[[#This Row],[Actual Finish]])&gt;0,Tasks[[#This Row],[Actual Finish]],Tasks[[#This Row],[_ShownFcstFinish]]),"")</f>
        <v/>
      </c>
      <c r="ET108" s="41" t="n">
        <f aca="false">IF(Tasks[[#This Row],[_IsLeaf]]=1,N(Tasks[[#This Row],[Story Points]]),0)</f>
        <v>0</v>
      </c>
      <c r="EU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29"/>
      <c r="O109" s="29"/>
      <c r="P109" s="29"/>
      <c r="Q109" s="29"/>
      <c r="R109" s="29"/>
      <c r="S109" s="29"/>
      <c r="T109" s="30"/>
      <c r="U109" s="75"/>
      <c r="V109" s="75"/>
      <c r="W109" s="25" t="str">
        <f aca="false">IF(Tasks[[#This Row],[Task Name]]="","",IF(N(Tasks[[#This Row],[Baseline Start]])&gt;0,Tasks[[#This Row],[Baseline Start]],Tasks[[#This Row],[_CalcStart]]))</f>
        <v/>
      </c>
      <c r="X109" s="25" t="str">
        <f aca="false">IF(Tasks[[#This Row],[Task Name]]="","",IF(N(Tasks[[#This Row],[Baseline Finish]])&gt;0,Tasks[[#This Row],[Baseline Finish]],Tasks[[#This Row],[_CalcFinish]]))</f>
        <v/>
      </c>
      <c r="Y109" s="75"/>
      <c r="Z109" s="75"/>
      <c r="AA109" s="25" t="str">
        <f aca="false">IF(Tasks[[#This Row],[Task Name]]="","",IF(Tasks[[#This Row],[_IsSummary]],MIN(INDEX(Tasks[_ShownFcstStart],Tasks[[#This Row],[_Row]]+1):INDEX(Tasks[_ShownFcstStart],Tasks[[#This Row],[_Row]]+Tasks[[#This Row],[_Descendants]])),Tasks[[#This Row],[_ShownFcstStart]]))</f>
        <v/>
      </c>
      <c r="AB109" s="25" t="str">
        <f aca="false">IF(Tasks[[#This Row],[Task Name]]="","",IF(Tasks[[#This Row],[_IsSummary]],MAX(INDEX(Tasks[_ShownFcstFinish],Tasks[[#This Row],[_Row]]+1):INDEX(Tasks[_ShownFcstFinish],Tasks[[#This Row],[_Row]]+Tasks[[#This Row],[_Descendants]])),Tasks[[#This Row],[_ShownFcstFinish]]))</f>
        <v/>
      </c>
      <c r="AC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9" s="25" t="str">
        <f aca="false">IF(Tasks[[#This Row],[Task Name]]="","",IF(Tasks[[#This Row],[_IsSummary]],MIN(INDEX(Tasks[_LeafLateStart],Tasks[[#This Row],[_Row]]+1):INDEX(Tasks[_LeafLateStart],Tasks[[#This Row],[_Row]]+Tasks[[#This Row],[_Descendants]])),Tasks[[#This Row],[_LeafLateStart]]))</f>
        <v/>
      </c>
      <c r="AF109" s="25" t="str">
        <f aca="false">IF(Tasks[[#This Row],[Task Name]]="","",IF(Tasks[[#This Row],[_IsSummary]],MAX(INDEX(Tasks[_LeafLateFinish],Tasks[[#This Row],[_Row]]+1):INDEX(Tasks[_LeafLateFinish],Tasks[[#This Row],[_Row]]+Tasks[[#This Row],[_Descendants]])),Tasks[[#This Row],[_LeafLateFinish]]))</f>
        <v/>
      </c>
      <c r="AG109" s="28" t="str">
        <f aca="false">IF(Tasks[[#This Row],[Task Name]]="","",IF(Tasks[[#This Row],[_IsSummary]],MIN(INDEX(Tasks[_LeafTotalSlack],Tasks[[#This Row],[_Row]]+1):INDEX(Tasks[_LeafTotalSlack],Tasks[[#This Row],[_Row]]+Tasks[[#This Row],[_Descendants]])),Tasks[[#This Row],[_LeafTotalSlack]]))</f>
        <v/>
      </c>
      <c r="AH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9" s="28" t="str">
        <f aca="false">IF(Tasks[[#This Row],[Task Name]]="","",IF(IF(Tasks[[#This Row],[_IsSummary]],COUNTIF(INDEX(Tasks[_LeafCritical],Tasks[[#This Row],[_Row]]+1):INDEX(Tasks[_LeafCritical],Tasks[[#This Row],[_Row]]+Tasks[[#This Row],[_Descendants]]),TRUE())&gt;0,Tasks[[#This Row],[_LeafCritical]]),"Yes",""))</f>
        <v/>
      </c>
      <c r="AJ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9" s="89"/>
      <c r="AM10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9" s="28" t="str">
        <f aca="false">IF(Tasks[[#This Row],[Task Name]]="","",IF(Tasks[[#This Row],[Progress]]&gt;=1,"Complete",IF(OR(N(Tasks[[#This Row],[Actual Start]])&gt;0,Tasks[[#This Row],[Progress]]&gt;0),IF(Tasks[[#This Row],[Finish Var]]&gt;0,"Behind","In Progress"),IF(Tasks[[#This Row],[Planned Start]]&lt;StatusDate,"Late Start","Not Started"))))</f>
        <v/>
      </c>
      <c r="AO109" s="30"/>
      <c r="AP109" s="89"/>
      <c r="AQ10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9" s="96" t="str">
        <f aca="false">IF(Tasks[[#This Row],[Task Name]]="","",IF(Tasks[[#This Row],[_IsSummary]],SUM(INDEX(Tasks[_LeafTotalWork],Tasks[[#This Row],[_Row]]+1):INDEX(Tasks[_LeafTotalWork],Tasks[[#This Row],[_Row]]+Tasks[[#This Row],[_Descendants]])),Tasks[[#This Row],[_LeafTotalWork]]))</f>
        <v/>
      </c>
      <c r="AT109" s="97" t="str">
        <f aca="false">IF(Tasks[[#This Row],[Task Name]]="","",IF(Tasks[[#This Row],[_IsSummary]],SUM(INDEX(Tasks[_LeafTotalCost],Tasks[[#This Row],[_Row]]+1):INDEX(Tasks[_LeafTotalCost],Tasks[[#This Row],[_Row]]+Tasks[[#This Row],[_Descendants]])),Tasks[[#This Row],[_LeafTotalCost]]))</f>
        <v/>
      </c>
      <c r="AU109" s="98"/>
      <c r="AV109" s="29"/>
      <c r="AW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9" s="83"/>
      <c r="AY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9" s="30"/>
      <c r="BA109" s="25" t="str">
        <f aca="false">IF(Tasks[[#This Row],[Task Name]]="","",Tasks[[#This Row],[Forecast Start]])</f>
        <v/>
      </c>
      <c r="BB109" s="25" t="str">
        <f aca="false">IF(Tasks[[#This Row],[Task Name]]="","",Tasks[[#This Row],[Forecast Finish]])</f>
        <v/>
      </c>
      <c r="BC109" s="28" t="str">
        <f aca="false">IF(Tasks[[#This Row],[Task Name]]="","",IF(Tasks[[#This Row],[_IsSummary]],NETWORKDAYS.INTL(Tasks[[#This Row],[Forecast Start]],Tasks[[#This Row],[Forecast Finish]],WorkWeek,Holidays),N(Tasks[[#This Row],[Duration]])))</f>
        <v/>
      </c>
      <c r="BD109" s="96" t="str">
        <f aca="false">IF(Tasks[[#This Row],[Task Name]]="","",Tasks[[#This Row],[Work]])</f>
        <v/>
      </c>
      <c r="BE109" s="97" t="str">
        <f aca="false">IF(Tasks[[#This Row],[Task Name]]="","",Tasks[[#This Row],[Cost]])</f>
        <v/>
      </c>
      <c r="BF109" s="75"/>
      <c r="BG109" s="75"/>
      <c r="BH109" s="29"/>
      <c r="BI109" s="99"/>
      <c r="BJ109" s="98"/>
      <c r="BK109" s="28" t="str">
        <f aca="false">IF(OR(Tasks[[#This Row],[Task Name]]="",Tasks[[#This Row],[Baseline Duration]]=""),"",Tasks[[#This Row],[BL Source Duration]]-N(Tasks[[#This Row],[Baseline Duration]]))</f>
        <v/>
      </c>
      <c r="BL109" s="96" t="str">
        <f aca="false">IF(OR(Tasks[[#This Row],[Task Name]]="",Tasks[[#This Row],[Baseline Work]]=""),"",Tasks[[#This Row],[Work]]-N(Tasks[[#This Row],[Baseline Work]]))</f>
        <v/>
      </c>
      <c r="BM109" s="97" t="str">
        <f aca="false">IF(OR(Tasks[[#This Row],[Task Name]]="",Tasks[[#This Row],[Baseline Cost]]=""),"",Tasks[[#This Row],[Cost]]-N(Tasks[[#This Row],[Baseline Cost]]))</f>
        <v/>
      </c>
      <c r="BN109" s="97" t="str">
        <f aca="false">IF(Tasks[[#This Row],[Task Name]]="","",IF(Tasks[[#This Row],[_IsSummary]],SUM(INDEX(Tasks[_LeafBudget],Tasks[[#This Row],[_Row]]+1):INDEX(Tasks[_LeafBudget],Tasks[[#This Row],[_Row]]+Tasks[[#This Row],[_Descendants]])),Tasks[[#This Row],[_LeafBudget]]))</f>
        <v/>
      </c>
      <c r="BO109" s="97" t="str">
        <f aca="false">IF(Tasks[[#This Row],[Task Name]]="","",IF(Tasks[[#This Row],[_IsSummary]],SUM(INDEX(Tasks[_LeafPV],Tasks[[#This Row],[_Row]]+1):INDEX(Tasks[_LeafPV],Tasks[[#This Row],[_Row]]+Tasks[[#This Row],[_Descendants]])),Tasks[[#This Row],[_LeafPV]]))</f>
        <v/>
      </c>
      <c r="BP109" s="97" t="str">
        <f aca="false">IF(Tasks[[#This Row],[Task Name]]="","",IF(Tasks[[#This Row],[_IsSummary]],SUM(INDEX(Tasks[_LeafEV],Tasks[[#This Row],[_Row]]+1):INDEX(Tasks[_LeafEV],Tasks[[#This Row],[_Row]]+Tasks[[#This Row],[_Descendants]])),Tasks[[#This Row],[_LeafEV]]))</f>
        <v/>
      </c>
      <c r="BQ109" s="97" t="str">
        <f aca="false">IF(Tasks[[#This Row],[Task Name]]="","",IF(Tasks[[#This Row],[_IsSummary]],SUM(INDEX(Tasks[_LeafAC],Tasks[[#This Row],[_Row]]+1):INDEX(Tasks[_LeafAC],Tasks[[#This Row],[_Row]]+Tasks[[#This Row],[_Descendants]])),Tasks[[#This Row],[_LeafAC]]))</f>
        <v/>
      </c>
      <c r="BR109" s="41" t="str">
        <f aca="false">IF(Tasks[[#This Row],[Task Name]]="","",MAX(1,N(Tasks[[#This Row],[Level]])))</f>
        <v/>
      </c>
      <c r="BS109" s="41" t="n">
        <f aca="false">ROW()-ROW(Tasks[[#Headers],[ID]])</f>
        <v>104</v>
      </c>
      <c r="BT109" s="41" t="n">
        <f aca="false">IF(OR(Tasks[[#This Row],[Task Name]]="",Tasks[[#This Row],[_Level]]&lt;=1),0,IFERROR(LOOKUP(2,1/(Tasks[[#Headers],[_Level]]:Tasks[[#This Row],[_Level]]=Tasks[[#This Row],[_Level]]-1),ROW(Tasks[[#Headers],[_Level]]:Tasks[[#This Row],[_Level]])),0))</f>
        <v>0</v>
      </c>
      <c r="BU109" s="41" t="n">
        <f aca="false">IFERROR(N(INDEX(Tasks[_Level],Tasks[[#This Row],[_Row]]+1)),0)</f>
        <v>0</v>
      </c>
      <c r="BV109" s="100" t="b">
        <f aca="false">AND(Tasks[[#This Row],[Task Name]]&lt;&gt;"",Tasks[[#This Row],[_NextLevel]]&gt;Tasks[[#This Row],[_Level]])</f>
        <v>0</v>
      </c>
      <c r="BW109" s="41" t="n">
        <f aca="false">IF(Tasks[[#This Row],[_IsSummary]],COUNTIF(Tasks[WBS],Tasks[[#This Row],[WBS]]&amp;".*"),0)</f>
        <v>0</v>
      </c>
      <c r="BX109" s="41" t="n">
        <f aca="false">IF(AND(Tasks[[#This Row],[Task Name]]&lt;&gt;"",NOT(Tasks[[#This Row],[_IsSummary]])),1,0)</f>
        <v>0</v>
      </c>
      <c r="BY109" s="41" t="n">
        <f aca="false">IF(N(Tasks[[#This Row],[Pred1 UID]])=0,0,IFERROR(MATCH(Tasks[[#This Row],[Pred1 UID]],Tasks[UID],0),-1))</f>
        <v>0</v>
      </c>
      <c r="BZ109" s="41" t="n">
        <f aca="false">IF(N(Tasks[[#This Row],[Pred2 UID]])=0,0,IFERROR(MATCH(Tasks[[#This Row],[Pred2 UID]],Tasks[UID],0),-1))</f>
        <v>0</v>
      </c>
      <c r="CA109" s="41" t="n">
        <f aca="false">IF(N(Tasks[[#This Row],[Pred3 UID]])=0,0,IFERROR(MATCH(Tasks[[#This Row],[Pred3 UID]],Tasks[UID],0),-1))</f>
        <v>0</v>
      </c>
      <c r="CB109" s="41" t="n">
        <f aca="false">IF(N(Tasks[[#This Row],[Pred4 UID]])=0,0,IFERROR(MATCH(Tasks[[#This Row],[Pred4 UID]],Tasks[UID],0),-1))</f>
        <v>0</v>
      </c>
      <c r="CC10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9" s="101" t="n">
        <f aca="false">IF(OR(Tasks[[#This Row],[_ConstraintCode]]=2,Tasks[[#This Row],[_ConstraintCode]]=3,Tasks[[#This Row],[_ConstraintCode]]=4,Tasks[[#This Row],[_ConstraintCode]]=6),Tasks[[#This Row],[_ConstraintStart]],0)</f>
        <v>0</v>
      </c>
      <c r="CF109" s="101" t="n">
        <f aca="false">IF(OR(Tasks[[#This Row],[_ConstraintCode]]=2,Tasks[[#This Row],[_ConstraintCode]]=3,Tasks[[#This Row],[_ConstraintCode]]=5,Tasks[[#This Row],[_ConstraintCode]]=7),Tasks[[#This Row],[_ConstraintStart]],2958465)</f>
        <v>2958465</v>
      </c>
      <c r="CG10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9" s="101" t="str">
        <f aca="false">IF(NOT(Tasks[[#This Row],[_IsLeaf]]=1),"",IF(N(Tasks[[#This Row],[Duration]])&lt;=0,Tasks[[#This Row],[_LeafCalcStart]],WORKDAY.INTL(Tasks[[#This Row],[_LeafCalcStart]],Tasks[[#This Row],[Duration]]-1,WorkWeek,Holidays)))</f>
        <v/>
      </c>
      <c r="CI10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9" s="41" t="n">
        <f aca="false">IF(NOT(Tasks[[#This Row],[_IsLeaf]]=1),0,IF(N(Tasks[[#This Row],[Actual Finish]])&gt;0,1,MIN(1,N(Tasks[[#This Row],[% Complete]]))))</f>
        <v>0</v>
      </c>
      <c r="CL109" s="41" t="n">
        <f aca="false">IF(OR(NOT(Tasks[[#This Row],[_IsLeaf]]=1),Tasks[[#This Row],[Resource]]=""),0,N(Tasks[[#This Row],[Duration]])*HoursPerDay*IF(Tasks[[#This Row],[Units]]="",DefaultUnits,Tasks[[#This Row],[Units]]))</f>
        <v>0</v>
      </c>
      <c r="CM109" s="41" t="n">
        <f aca="false">IF(Tasks[[#This Row],[_LeafWork]]=0,0,Tasks[[#This Row],[_LeafWork]]*IFERROR(INDEX(res_Rate,MATCH(Tasks[[#This Row],[Resource]],res_Name,0)),0))</f>
        <v>0</v>
      </c>
      <c r="CN109" s="41" t="n">
        <f aca="false">Tasks[[#This Row],[_LeafWork]]+IF(Tasks[[#This Row],[_IsLeaf]]=1,SUMIFS(asg_Work,asg_TaskUID,Tasks[[#This Row],[UID]],asg_Valid,1),0)</f>
        <v>0</v>
      </c>
      <c r="CO109" s="41" t="n">
        <f aca="false">Tasks[[#This Row],[_LeafCost]]+IF(Tasks[[#This Row],[_IsLeaf]]=1,SUMIFS(asg_Cost,asg_TaskUID,Tasks[[#This Row],[UID]],asg_Valid,1),0)</f>
        <v>0</v>
      </c>
      <c r="CP109" s="41" t="n">
        <f aca="false">IF(Tasks[[#This Row],[_LeafTotalCost]]=0,Tasks[[#This Row],[_LeafAC]],Tasks[[#This Row],[_LeafAC]]*Tasks[[#This Row],[_LeafCost]]/Tasks[[#This Row],[_LeafTotalCost]])</f>
        <v>0</v>
      </c>
      <c r="CQ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9" s="41" t="n">
        <f aca="false">IF(NOT(Tasks[[#This Row],[_IsLeaf]]=1),0,MAX(_xlfn.MAXIFS(Tasks[_Row],Tasks[Pred1 UID],Tasks[[#This Row],[UID]]),_xlfn.MAXIFS(Tasks[_Row],Tasks[Pred2 UID],Tasks[[#This Row],[UID]]),_xlfn.MAXIFS(Tasks[_Row],Tasks[Pred3 UID],Tasks[[#This Row],[UID]]),_xlfn.MAXIFS(Tasks[_Row],Tasks[Pred4 UID],Tasks[[#This Row],[UID]])))</f>
        <v>0</v>
      </c>
      <c r="CZ10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9" s="101" t="str">
        <f aca="false">IF(NOT(Tasks[[#This Row],[_IsLeaf]]=1),"",IF(N(Tasks[[#This Row],[Duration]])&lt;=0,Tasks[[#This Row],[_LeafLateFinish]],WORKDAY.INTL(Tasks[[#This Row],[_LeafLateFinish]],-(Tasks[[#This Row],[Duration]]-1),WorkWeek,Holidays)))</f>
        <v/>
      </c>
      <c r="DC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9" s="100" t="b">
        <f aca="false">AND(Tasks[[#This Row],[_IsLeaf]]=1,Tasks[[#This Row],[_LeafProgress]]&lt;1,N(Tasks[[#This Row],[_LeafTotalSlack]])&lt;=CriticalSlackDays)</f>
        <v>0</v>
      </c>
      <c r="DE109" s="41" t="n">
        <f aca="false">IF(AND(Tasks[[#This Row],[_IsLeaf]]=1,Tasks[[#This Row],[_ConstraintCode]]=1,Tasks[[#This Row],[Mode]]&lt;&gt;"Manual",N(Tasks[[#This Row],[Actual Start]])=0),MAX(0,N(Tasks[[#This Row],[Free Slack]])),0)</f>
        <v>0</v>
      </c>
      <c r="DF109" s="101" t="str">
        <f aca="false">IF(NOT(Tasks[[#This Row],[_IsLeaf]]=1),"",IF(Tasks[[#This Row],[_AlapShift]]=0,Tasks[[#This Row],[_LeafCalcStart]],WORKDAY.INTL(Tasks[[#This Row],[_LeafCalcStart]],Tasks[[#This Row],[_AlapShift]],WorkWeek,Holidays)))</f>
        <v/>
      </c>
      <c r="DG109" s="101" t="str">
        <f aca="false">IF(NOT(Tasks[[#This Row],[_IsLeaf]]=1),"",IF(Tasks[[#This Row],[_AlapShift]]=0,Tasks[[#This Row],[_LeafCalcFinish]],WORKDAY.INTL(Tasks[[#This Row],[_LeafCalcFinish]],Tasks[[#This Row],[_AlapShift]],WorkWeek,Holidays)))</f>
        <v/>
      </c>
      <c r="DH109" s="101" t="str">
        <f aca="false">IF(NOT(Tasks[[#This Row],[_IsLeaf]]=1),"",IF(Tasks[[#This Row],[_AlapShift]]=0,Tasks[[#This Row],[_LeafFcstStart]],WORKDAY.INTL(Tasks[[#This Row],[_LeafFcstStart]],Tasks[[#This Row],[_AlapShift]],WorkWeek,Holidays)))</f>
        <v/>
      </c>
      <c r="DI109" s="101" t="str">
        <f aca="false">IF(NOT(Tasks[[#This Row],[_IsLeaf]]=1),"",IF(Tasks[[#This Row],[_AlapShift]]=0,Tasks[[#This Row],[_LeafFcstFinish]],WORKDAY.INTL(Tasks[[#This Row],[_LeafFcstFinish]],Tasks[[#This Row],[_AlapShift]],WorkWeek,Holidays)))</f>
        <v/>
      </c>
      <c r="DJ109" s="101" t="str">
        <f aca="false">IF(Tasks[[#This Row],[Task Name]]="","",IF(Tasks[[#This Row],[_IsSummary]],MIN(INDEX(Tasks[_ShownCalcStart],Tasks[[#This Row],[_Row]]+1):INDEX(Tasks[_ShownCalcStart],Tasks[[#This Row],[_Row]]+Tasks[[#This Row],[_Descendants]])),Tasks[[#This Row],[_ShownCalcStart]]))</f>
        <v/>
      </c>
      <c r="DK109" s="101" t="str">
        <f aca="false">IF(Tasks[[#This Row],[Task Name]]="","",IF(Tasks[[#This Row],[_IsSummary]],MAX(INDEX(Tasks[_ShownCalcFinish],Tasks[[#This Row],[_Row]]+1):INDEX(Tasks[_ShownCalcFinish],Tasks[[#This Row],[_Row]]+Tasks[[#This Row],[_Descendants]])),Tasks[[#This Row],[_ShownCalcFinish]]))</f>
        <v/>
      </c>
      <c r="D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9" s="41" t="n">
        <f aca="false">IF(AND(Tasks[[#This Row],[_IsLeaf]]=1,Tasks[[#This Row],[_LeafTotalWork]]&gt;0),NETWORKDAYS.INTL(ProjectStart,Tasks[[#This Row],[_ShownFcstStart]],WorkWeek,Holidays),0)</f>
        <v>0</v>
      </c>
      <c r="DY109" s="41" t="n">
        <f aca="false">IF(AND(Tasks[[#This Row],[_IsLeaf]]=1,Tasks[[#This Row],[_LeafTotalWork]]&gt;0),MAX(Tasks[[#This Row],[_StartWorkday]],NETWORKDAYS.INTL(ProjectStart,Tasks[[#This Row],[_ShownFcstFinish]],WorkWeek,Holidays)),0)</f>
        <v>0</v>
      </c>
      <c r="DZ109" s="41" t="n">
        <f aca="false">IF(AND(Tasks[[#This Row],[_IsLeaf]]=1,Tasks[[#This Row],[_LeafTotalWork]]&gt;0),Tasks[[#This Row],[_LeafWork]]/(Tasks[[#This Row],[_FinishWorkday]]-Tasks[[#This Row],[_StartWorkday]]+1),0)</f>
        <v>0</v>
      </c>
      <c r="EA109" s="41" t="n">
        <f aca="false">Tasks[[#This Row],[_WorkPerWorkday]]*(Tasks[[#This Row],[_StartWorkday]]-1)</f>
        <v>-0</v>
      </c>
      <c r="EB109" s="41" t="n">
        <f aca="false">IF(Tasks[[#This Row],[_IsLeaf]]=1,MAX(N(Tasks[[#This Row],[Duration]]),0.1),0)</f>
        <v>0</v>
      </c>
      <c r="EC109" s="41" t="n">
        <f aca="false">Tasks[[#This Row],[_WeightDur]]*Tasks[[#This Row],[_LeafProgress]]</f>
        <v>0</v>
      </c>
      <c r="ED10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9" s="41" t="str">
        <f aca="false">IF(AND(Tasks[[#This Row],[_IsLeaf]]=1,N(Tasks[[#This Row],[Duration]])=0,Tasks[[#This Row],[_LeafProgress]]&lt;1),Tasks[[#This Row],[_ShownFcstFinish]]+Tasks[[#This Row],[_Row]]/100000,"")</f>
        <v/>
      </c>
      <c r="EF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9" s="41" t="n">
        <f aca="false">IF(NOT(Tasks[[#This Row],[_IsLeaf]]=1),0,IF(Tasks[[#This Row],[Baseline Cost]]="",Tasks[[#This Row],[_LeafTotalCost]],N(Tasks[[#This Row],[Baseline Cost]])))</f>
        <v>0</v>
      </c>
      <c r="EH109" s="41" t="n">
        <f aca="false">Tasks[[#This Row],[_LeafBudget]]*Tasks[[#This Row],[_PlannedPct]]</f>
        <v>0</v>
      </c>
      <c r="EI109" s="41" t="n">
        <f aca="false">Tasks[[#This Row],[_LeafBudget]]*Tasks[[#This Row],[_LeafProgress]]</f>
        <v>0</v>
      </c>
      <c r="EJ109" s="41" t="n">
        <f aca="false">IF(NOT(Tasks[[#This Row],[_IsLeaf]]=1),0,IF(Tasks[[#This Row],[Actual Cost]]="",Tasks[[#This Row],[_LeafTotalCost]]*Tasks[[#This Row],[_LeafProgress]],N(Tasks[[#This Row],[Actual Cost]])))</f>
        <v>0</v>
      </c>
      <c r="EK109" s="41" t="str">
        <f aca="false">IF(Tasks[[#This Row],[Task Name]]="","",LEFT(Tasks[[#This Row],[WBS]],FIND(".",Tasks[[#This Row],[WBS]]&amp;".")-1))</f>
        <v/>
      </c>
      <c r="EL109" s="41" t="str">
        <f aca="false">IF(AND(Tasks[[#This Row],[Task Name]]&lt;&gt;"",Tasks[[#This Row],[_Level]]=1),Tasks[[#This Row],[_Row]],"")</f>
        <v/>
      </c>
      <c r="EM109" s="41" t="str">
        <f aca="false">IF(AND(Tasks[[#This Row],[_IsLeaf]]=1,N(Tasks[[#This Row],[Duration]])=0),Tasks[[#This Row],[Planned Finish]]+Tasks[[#This Row],[_Row]]/100000,"")</f>
        <v/>
      </c>
      <c r="EN109" s="41" t="str">
        <f aca="false">IF(AND(Tasks[[#This Row],[_IsLeaf]]=1,Tasks[[#This Row],[_LeafProgress]]&lt;1,OR(N(Tasks[[#This Row],[Finish Var]])&gt;0,Tasks[[#This Row],[Status]]="Late Start")),MAX(0,Tasks[[#This Row],[Finish Var]])+1-Tasks[[#This Row],[_Row]]/1000000,"")</f>
        <v/>
      </c>
      <c r="EO109" s="41" t="str">
        <f aca="false">IF(AND(Tasks[[#This Row],[_IsLeaf]]=1,N(Tasks[[#This Row],[Actual Start]])=0,Tasks[[#This Row],[_ShownFcstStart]]&gt;=StatusDate,Tasks[[#This Row],[_ShownFcstStart]]&lt;=LookaheadEnd),Tasks[[#This Row],[_ShownFcstStart]]+Tasks[[#This Row],[_Row]]/100000,"")</f>
        <v/>
      </c>
      <c r="EP109" s="41" t="str">
        <f aca="false">IF(AND(Tasks[[#This Row],[_IsLeaf]]=1,Tasks[[#This Row],[_LeafProgress]]&lt;1,Tasks[[#This Row],[_ShownFcstFinish]]&gt;=StatusDate,Tasks[[#This Row],[_ShownFcstFinish]]&lt;=LookaheadEnd),Tasks[[#This Row],[_ShownFcstFinish]]+Tasks[[#This Row],[_Row]]/100000,"")</f>
        <v/>
      </c>
      <c r="EQ109" s="41" t="str">
        <f aca="false">IF(Tasks[[#This Row],[_LeafCritical]],Tasks[[#This Row],[_ShownFcstStart]]+Tasks[[#This Row],[_Row]]/100000,"")</f>
        <v/>
      </c>
      <c r="ER109" s="41" t="n">
        <f aca="false">Tasks[[#This Row],[_LeafWork]]*Tasks[[#This Row],[_LeafProgress]]</f>
        <v>0</v>
      </c>
      <c r="ES109" s="101" t="str">
        <f aca="false">IF(AND(Tasks[[#This Row],[_IsLeaf]]=1,Tasks[[#This Row],[_LeafProgress]]&gt;=1),IF(N(Tasks[[#This Row],[Actual Finish]])&gt;0,Tasks[[#This Row],[Actual Finish]],Tasks[[#This Row],[_ShownFcstFinish]]),"")</f>
        <v/>
      </c>
      <c r="ET109" s="41" t="n">
        <f aca="false">IF(Tasks[[#This Row],[_IsLeaf]]=1,N(Tasks[[#This Row],[Story Points]]),0)</f>
        <v>0</v>
      </c>
      <c r="EU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29"/>
      <c r="O110" s="29"/>
      <c r="P110" s="29"/>
      <c r="Q110" s="29"/>
      <c r="R110" s="29"/>
      <c r="S110" s="29"/>
      <c r="T110" s="30"/>
      <c r="U110" s="75"/>
      <c r="V110" s="75"/>
      <c r="W110" s="25" t="str">
        <f aca="false">IF(Tasks[[#This Row],[Task Name]]="","",IF(N(Tasks[[#This Row],[Baseline Start]])&gt;0,Tasks[[#This Row],[Baseline Start]],Tasks[[#This Row],[_CalcStart]]))</f>
        <v/>
      </c>
      <c r="X110" s="25" t="str">
        <f aca="false">IF(Tasks[[#This Row],[Task Name]]="","",IF(N(Tasks[[#This Row],[Baseline Finish]])&gt;0,Tasks[[#This Row],[Baseline Finish]],Tasks[[#This Row],[_CalcFinish]]))</f>
        <v/>
      </c>
      <c r="Y110" s="75"/>
      <c r="Z110" s="75"/>
      <c r="AA110" s="25" t="str">
        <f aca="false">IF(Tasks[[#This Row],[Task Name]]="","",IF(Tasks[[#This Row],[_IsSummary]],MIN(INDEX(Tasks[_ShownFcstStart],Tasks[[#This Row],[_Row]]+1):INDEX(Tasks[_ShownFcstStart],Tasks[[#This Row],[_Row]]+Tasks[[#This Row],[_Descendants]])),Tasks[[#This Row],[_ShownFcstStart]]))</f>
        <v/>
      </c>
      <c r="AB110" s="25" t="str">
        <f aca="false">IF(Tasks[[#This Row],[Task Name]]="","",IF(Tasks[[#This Row],[_IsSummary]],MAX(INDEX(Tasks[_ShownFcstFinish],Tasks[[#This Row],[_Row]]+1):INDEX(Tasks[_ShownFcstFinish],Tasks[[#This Row],[_Row]]+Tasks[[#This Row],[_Descendants]])),Tasks[[#This Row],[_ShownFcstFinish]]))</f>
        <v/>
      </c>
      <c r="AC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0" s="25" t="str">
        <f aca="false">IF(Tasks[[#This Row],[Task Name]]="","",IF(Tasks[[#This Row],[_IsSummary]],MIN(INDEX(Tasks[_LeafLateStart],Tasks[[#This Row],[_Row]]+1):INDEX(Tasks[_LeafLateStart],Tasks[[#This Row],[_Row]]+Tasks[[#This Row],[_Descendants]])),Tasks[[#This Row],[_LeafLateStart]]))</f>
        <v/>
      </c>
      <c r="AF110" s="25" t="str">
        <f aca="false">IF(Tasks[[#This Row],[Task Name]]="","",IF(Tasks[[#This Row],[_IsSummary]],MAX(INDEX(Tasks[_LeafLateFinish],Tasks[[#This Row],[_Row]]+1):INDEX(Tasks[_LeafLateFinish],Tasks[[#This Row],[_Row]]+Tasks[[#This Row],[_Descendants]])),Tasks[[#This Row],[_LeafLateFinish]]))</f>
        <v/>
      </c>
      <c r="AG110" s="28" t="str">
        <f aca="false">IF(Tasks[[#This Row],[Task Name]]="","",IF(Tasks[[#This Row],[_IsSummary]],MIN(INDEX(Tasks[_LeafTotalSlack],Tasks[[#This Row],[_Row]]+1):INDEX(Tasks[_LeafTotalSlack],Tasks[[#This Row],[_Row]]+Tasks[[#This Row],[_Descendants]])),Tasks[[#This Row],[_LeafTotalSlack]]))</f>
        <v/>
      </c>
      <c r="AH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0" s="28" t="str">
        <f aca="false">IF(Tasks[[#This Row],[Task Name]]="","",IF(IF(Tasks[[#This Row],[_IsSummary]],COUNTIF(INDEX(Tasks[_LeafCritical],Tasks[[#This Row],[_Row]]+1):INDEX(Tasks[_LeafCritical],Tasks[[#This Row],[_Row]]+Tasks[[#This Row],[_Descendants]]),TRUE())&gt;0,Tasks[[#This Row],[_LeafCritical]]),"Yes",""))</f>
        <v/>
      </c>
      <c r="AJ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0" s="89"/>
      <c r="AM1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0" s="28" t="str">
        <f aca="false">IF(Tasks[[#This Row],[Task Name]]="","",IF(Tasks[[#This Row],[Progress]]&gt;=1,"Complete",IF(OR(N(Tasks[[#This Row],[Actual Start]])&gt;0,Tasks[[#This Row],[Progress]]&gt;0),IF(Tasks[[#This Row],[Finish Var]]&gt;0,"Behind","In Progress"),IF(Tasks[[#This Row],[Planned Start]]&lt;StatusDate,"Late Start","Not Started"))))</f>
        <v/>
      </c>
      <c r="AO110" s="30"/>
      <c r="AP110" s="89"/>
      <c r="AQ1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0" s="96" t="str">
        <f aca="false">IF(Tasks[[#This Row],[Task Name]]="","",IF(Tasks[[#This Row],[_IsSummary]],SUM(INDEX(Tasks[_LeafTotalWork],Tasks[[#This Row],[_Row]]+1):INDEX(Tasks[_LeafTotalWork],Tasks[[#This Row],[_Row]]+Tasks[[#This Row],[_Descendants]])),Tasks[[#This Row],[_LeafTotalWork]]))</f>
        <v/>
      </c>
      <c r="AT110" s="97" t="str">
        <f aca="false">IF(Tasks[[#This Row],[Task Name]]="","",IF(Tasks[[#This Row],[_IsSummary]],SUM(INDEX(Tasks[_LeafTotalCost],Tasks[[#This Row],[_Row]]+1):INDEX(Tasks[_LeafTotalCost],Tasks[[#This Row],[_Row]]+Tasks[[#This Row],[_Descendants]])),Tasks[[#This Row],[_LeafTotalCost]]))</f>
        <v/>
      </c>
      <c r="AU110" s="98"/>
      <c r="AV110" s="29"/>
      <c r="AW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0" s="83"/>
      <c r="AY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0" s="30"/>
      <c r="BA110" s="25" t="str">
        <f aca="false">IF(Tasks[[#This Row],[Task Name]]="","",Tasks[[#This Row],[Forecast Start]])</f>
        <v/>
      </c>
      <c r="BB110" s="25" t="str">
        <f aca="false">IF(Tasks[[#This Row],[Task Name]]="","",Tasks[[#This Row],[Forecast Finish]])</f>
        <v/>
      </c>
      <c r="BC110" s="28" t="str">
        <f aca="false">IF(Tasks[[#This Row],[Task Name]]="","",IF(Tasks[[#This Row],[_IsSummary]],NETWORKDAYS.INTL(Tasks[[#This Row],[Forecast Start]],Tasks[[#This Row],[Forecast Finish]],WorkWeek,Holidays),N(Tasks[[#This Row],[Duration]])))</f>
        <v/>
      </c>
      <c r="BD110" s="96" t="str">
        <f aca="false">IF(Tasks[[#This Row],[Task Name]]="","",Tasks[[#This Row],[Work]])</f>
        <v/>
      </c>
      <c r="BE110" s="97" t="str">
        <f aca="false">IF(Tasks[[#This Row],[Task Name]]="","",Tasks[[#This Row],[Cost]])</f>
        <v/>
      </c>
      <c r="BF110" s="75"/>
      <c r="BG110" s="75"/>
      <c r="BH110" s="29"/>
      <c r="BI110" s="99"/>
      <c r="BJ110" s="98"/>
      <c r="BK110" s="28" t="str">
        <f aca="false">IF(OR(Tasks[[#This Row],[Task Name]]="",Tasks[[#This Row],[Baseline Duration]]=""),"",Tasks[[#This Row],[BL Source Duration]]-N(Tasks[[#This Row],[Baseline Duration]]))</f>
        <v/>
      </c>
      <c r="BL110" s="96" t="str">
        <f aca="false">IF(OR(Tasks[[#This Row],[Task Name]]="",Tasks[[#This Row],[Baseline Work]]=""),"",Tasks[[#This Row],[Work]]-N(Tasks[[#This Row],[Baseline Work]]))</f>
        <v/>
      </c>
      <c r="BM110" s="97" t="str">
        <f aca="false">IF(OR(Tasks[[#This Row],[Task Name]]="",Tasks[[#This Row],[Baseline Cost]]=""),"",Tasks[[#This Row],[Cost]]-N(Tasks[[#This Row],[Baseline Cost]]))</f>
        <v/>
      </c>
      <c r="BN110" s="97" t="str">
        <f aca="false">IF(Tasks[[#This Row],[Task Name]]="","",IF(Tasks[[#This Row],[_IsSummary]],SUM(INDEX(Tasks[_LeafBudget],Tasks[[#This Row],[_Row]]+1):INDEX(Tasks[_LeafBudget],Tasks[[#This Row],[_Row]]+Tasks[[#This Row],[_Descendants]])),Tasks[[#This Row],[_LeafBudget]]))</f>
        <v/>
      </c>
      <c r="BO110" s="97" t="str">
        <f aca="false">IF(Tasks[[#This Row],[Task Name]]="","",IF(Tasks[[#This Row],[_IsSummary]],SUM(INDEX(Tasks[_LeafPV],Tasks[[#This Row],[_Row]]+1):INDEX(Tasks[_LeafPV],Tasks[[#This Row],[_Row]]+Tasks[[#This Row],[_Descendants]])),Tasks[[#This Row],[_LeafPV]]))</f>
        <v/>
      </c>
      <c r="BP110" s="97" t="str">
        <f aca="false">IF(Tasks[[#This Row],[Task Name]]="","",IF(Tasks[[#This Row],[_IsSummary]],SUM(INDEX(Tasks[_LeafEV],Tasks[[#This Row],[_Row]]+1):INDEX(Tasks[_LeafEV],Tasks[[#This Row],[_Row]]+Tasks[[#This Row],[_Descendants]])),Tasks[[#This Row],[_LeafEV]]))</f>
        <v/>
      </c>
      <c r="BQ110" s="97" t="str">
        <f aca="false">IF(Tasks[[#This Row],[Task Name]]="","",IF(Tasks[[#This Row],[_IsSummary]],SUM(INDEX(Tasks[_LeafAC],Tasks[[#This Row],[_Row]]+1):INDEX(Tasks[_LeafAC],Tasks[[#This Row],[_Row]]+Tasks[[#This Row],[_Descendants]])),Tasks[[#This Row],[_LeafAC]]))</f>
        <v/>
      </c>
      <c r="BR110" s="41" t="str">
        <f aca="false">IF(Tasks[[#This Row],[Task Name]]="","",MAX(1,N(Tasks[[#This Row],[Level]])))</f>
        <v/>
      </c>
      <c r="BS110" s="41" t="n">
        <f aca="false">ROW()-ROW(Tasks[[#Headers],[ID]])</f>
        <v>105</v>
      </c>
      <c r="BT110" s="41" t="n">
        <f aca="false">IF(OR(Tasks[[#This Row],[Task Name]]="",Tasks[[#This Row],[_Level]]&lt;=1),0,IFERROR(LOOKUP(2,1/(Tasks[[#Headers],[_Level]]:Tasks[[#This Row],[_Level]]=Tasks[[#This Row],[_Level]]-1),ROW(Tasks[[#Headers],[_Level]]:Tasks[[#This Row],[_Level]])),0))</f>
        <v>0</v>
      </c>
      <c r="BU110" s="41" t="n">
        <f aca="false">IFERROR(N(INDEX(Tasks[_Level],Tasks[[#This Row],[_Row]]+1)),0)</f>
        <v>0</v>
      </c>
      <c r="BV110" s="100" t="b">
        <f aca="false">AND(Tasks[[#This Row],[Task Name]]&lt;&gt;"",Tasks[[#This Row],[_NextLevel]]&gt;Tasks[[#This Row],[_Level]])</f>
        <v>0</v>
      </c>
      <c r="BW110" s="41" t="n">
        <f aca="false">IF(Tasks[[#This Row],[_IsSummary]],COUNTIF(Tasks[WBS],Tasks[[#This Row],[WBS]]&amp;".*"),0)</f>
        <v>0</v>
      </c>
      <c r="BX110" s="41" t="n">
        <f aca="false">IF(AND(Tasks[[#This Row],[Task Name]]&lt;&gt;"",NOT(Tasks[[#This Row],[_IsSummary]])),1,0)</f>
        <v>0</v>
      </c>
      <c r="BY110" s="41" t="n">
        <f aca="false">IF(N(Tasks[[#This Row],[Pred1 UID]])=0,0,IFERROR(MATCH(Tasks[[#This Row],[Pred1 UID]],Tasks[UID],0),-1))</f>
        <v>0</v>
      </c>
      <c r="BZ110" s="41" t="n">
        <f aca="false">IF(N(Tasks[[#This Row],[Pred2 UID]])=0,0,IFERROR(MATCH(Tasks[[#This Row],[Pred2 UID]],Tasks[UID],0),-1))</f>
        <v>0</v>
      </c>
      <c r="CA110" s="41" t="n">
        <f aca="false">IF(N(Tasks[[#This Row],[Pred3 UID]])=0,0,IFERROR(MATCH(Tasks[[#This Row],[Pred3 UID]],Tasks[UID],0),-1))</f>
        <v>0</v>
      </c>
      <c r="CB110" s="41" t="n">
        <f aca="false">IF(N(Tasks[[#This Row],[Pred4 UID]])=0,0,IFERROR(MATCH(Tasks[[#This Row],[Pred4 UID]],Tasks[UID],0),-1))</f>
        <v>0</v>
      </c>
      <c r="CC1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0" s="101" t="n">
        <f aca="false">IF(OR(Tasks[[#This Row],[_ConstraintCode]]=2,Tasks[[#This Row],[_ConstraintCode]]=3,Tasks[[#This Row],[_ConstraintCode]]=4,Tasks[[#This Row],[_ConstraintCode]]=6),Tasks[[#This Row],[_ConstraintStart]],0)</f>
        <v>0</v>
      </c>
      <c r="CF110" s="101" t="n">
        <f aca="false">IF(OR(Tasks[[#This Row],[_ConstraintCode]]=2,Tasks[[#This Row],[_ConstraintCode]]=3,Tasks[[#This Row],[_ConstraintCode]]=5,Tasks[[#This Row],[_ConstraintCode]]=7),Tasks[[#This Row],[_ConstraintStart]],2958465)</f>
        <v>2958465</v>
      </c>
      <c r="CG11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0" s="101" t="str">
        <f aca="false">IF(NOT(Tasks[[#This Row],[_IsLeaf]]=1),"",IF(N(Tasks[[#This Row],[Duration]])&lt;=0,Tasks[[#This Row],[_LeafCalcStart]],WORKDAY.INTL(Tasks[[#This Row],[_LeafCalcStart]],Tasks[[#This Row],[Duration]]-1,WorkWeek,Holidays)))</f>
        <v/>
      </c>
      <c r="CI11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0" s="41" t="n">
        <f aca="false">IF(NOT(Tasks[[#This Row],[_IsLeaf]]=1),0,IF(N(Tasks[[#This Row],[Actual Finish]])&gt;0,1,MIN(1,N(Tasks[[#This Row],[% Complete]]))))</f>
        <v>0</v>
      </c>
      <c r="CL110" s="41" t="n">
        <f aca="false">IF(OR(NOT(Tasks[[#This Row],[_IsLeaf]]=1),Tasks[[#This Row],[Resource]]=""),0,N(Tasks[[#This Row],[Duration]])*HoursPerDay*IF(Tasks[[#This Row],[Units]]="",DefaultUnits,Tasks[[#This Row],[Units]]))</f>
        <v>0</v>
      </c>
      <c r="CM110" s="41" t="n">
        <f aca="false">IF(Tasks[[#This Row],[_LeafWork]]=0,0,Tasks[[#This Row],[_LeafWork]]*IFERROR(INDEX(res_Rate,MATCH(Tasks[[#This Row],[Resource]],res_Name,0)),0))</f>
        <v>0</v>
      </c>
      <c r="CN110" s="41" t="n">
        <f aca="false">Tasks[[#This Row],[_LeafWork]]+IF(Tasks[[#This Row],[_IsLeaf]]=1,SUMIFS(asg_Work,asg_TaskUID,Tasks[[#This Row],[UID]],asg_Valid,1),0)</f>
        <v>0</v>
      </c>
      <c r="CO110" s="41" t="n">
        <f aca="false">Tasks[[#This Row],[_LeafCost]]+IF(Tasks[[#This Row],[_IsLeaf]]=1,SUMIFS(asg_Cost,asg_TaskUID,Tasks[[#This Row],[UID]],asg_Valid,1),0)</f>
        <v>0</v>
      </c>
      <c r="CP110" s="41" t="n">
        <f aca="false">IF(Tasks[[#This Row],[_LeafTotalCost]]=0,Tasks[[#This Row],[_LeafAC]],Tasks[[#This Row],[_LeafAC]]*Tasks[[#This Row],[_LeafCost]]/Tasks[[#This Row],[_LeafTotalCost]])</f>
        <v>0</v>
      </c>
      <c r="CQ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0" s="41" t="n">
        <f aca="false">IF(NOT(Tasks[[#This Row],[_IsLeaf]]=1),0,MAX(_xlfn.MAXIFS(Tasks[_Row],Tasks[Pred1 UID],Tasks[[#This Row],[UID]]),_xlfn.MAXIFS(Tasks[_Row],Tasks[Pred2 UID],Tasks[[#This Row],[UID]]),_xlfn.MAXIFS(Tasks[_Row],Tasks[Pred3 UID],Tasks[[#This Row],[UID]]),_xlfn.MAXIFS(Tasks[_Row],Tasks[Pred4 UID],Tasks[[#This Row],[UID]])))</f>
        <v>0</v>
      </c>
      <c r="CZ1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0" s="101" t="str">
        <f aca="false">IF(NOT(Tasks[[#This Row],[_IsLeaf]]=1),"",IF(N(Tasks[[#This Row],[Duration]])&lt;=0,Tasks[[#This Row],[_LeafLateFinish]],WORKDAY.INTL(Tasks[[#This Row],[_LeafLateFinish]],-(Tasks[[#This Row],[Duration]]-1),WorkWeek,Holidays)))</f>
        <v/>
      </c>
      <c r="DC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0" s="100" t="b">
        <f aca="false">AND(Tasks[[#This Row],[_IsLeaf]]=1,Tasks[[#This Row],[_LeafProgress]]&lt;1,N(Tasks[[#This Row],[_LeafTotalSlack]])&lt;=CriticalSlackDays)</f>
        <v>0</v>
      </c>
      <c r="DE110" s="41" t="n">
        <f aca="false">IF(AND(Tasks[[#This Row],[_IsLeaf]]=1,Tasks[[#This Row],[_ConstraintCode]]=1,Tasks[[#This Row],[Mode]]&lt;&gt;"Manual",N(Tasks[[#This Row],[Actual Start]])=0),MAX(0,N(Tasks[[#This Row],[Free Slack]])),0)</f>
        <v>0</v>
      </c>
      <c r="DF110" s="101" t="str">
        <f aca="false">IF(NOT(Tasks[[#This Row],[_IsLeaf]]=1),"",IF(Tasks[[#This Row],[_AlapShift]]=0,Tasks[[#This Row],[_LeafCalcStart]],WORKDAY.INTL(Tasks[[#This Row],[_LeafCalcStart]],Tasks[[#This Row],[_AlapShift]],WorkWeek,Holidays)))</f>
        <v/>
      </c>
      <c r="DG110" s="101" t="str">
        <f aca="false">IF(NOT(Tasks[[#This Row],[_IsLeaf]]=1),"",IF(Tasks[[#This Row],[_AlapShift]]=0,Tasks[[#This Row],[_LeafCalcFinish]],WORKDAY.INTL(Tasks[[#This Row],[_LeafCalcFinish]],Tasks[[#This Row],[_AlapShift]],WorkWeek,Holidays)))</f>
        <v/>
      </c>
      <c r="DH110" s="101" t="str">
        <f aca="false">IF(NOT(Tasks[[#This Row],[_IsLeaf]]=1),"",IF(Tasks[[#This Row],[_AlapShift]]=0,Tasks[[#This Row],[_LeafFcstStart]],WORKDAY.INTL(Tasks[[#This Row],[_LeafFcstStart]],Tasks[[#This Row],[_AlapShift]],WorkWeek,Holidays)))</f>
        <v/>
      </c>
      <c r="DI110" s="101" t="str">
        <f aca="false">IF(NOT(Tasks[[#This Row],[_IsLeaf]]=1),"",IF(Tasks[[#This Row],[_AlapShift]]=0,Tasks[[#This Row],[_LeafFcstFinish]],WORKDAY.INTL(Tasks[[#This Row],[_LeafFcstFinish]],Tasks[[#This Row],[_AlapShift]],WorkWeek,Holidays)))</f>
        <v/>
      </c>
      <c r="DJ110" s="101" t="str">
        <f aca="false">IF(Tasks[[#This Row],[Task Name]]="","",IF(Tasks[[#This Row],[_IsSummary]],MIN(INDEX(Tasks[_ShownCalcStart],Tasks[[#This Row],[_Row]]+1):INDEX(Tasks[_ShownCalcStart],Tasks[[#This Row],[_Row]]+Tasks[[#This Row],[_Descendants]])),Tasks[[#This Row],[_ShownCalcStart]]))</f>
        <v/>
      </c>
      <c r="DK110" s="101" t="str">
        <f aca="false">IF(Tasks[[#This Row],[Task Name]]="","",IF(Tasks[[#This Row],[_IsSummary]],MAX(INDEX(Tasks[_ShownCalcFinish],Tasks[[#This Row],[_Row]]+1):INDEX(Tasks[_ShownCalcFinish],Tasks[[#This Row],[_Row]]+Tasks[[#This Row],[_Descendants]])),Tasks[[#This Row],[_ShownCalcFinish]]))</f>
        <v/>
      </c>
      <c r="D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0" s="41" t="n">
        <f aca="false">IF(AND(Tasks[[#This Row],[_IsLeaf]]=1,Tasks[[#This Row],[_LeafTotalWork]]&gt;0),NETWORKDAYS.INTL(ProjectStart,Tasks[[#This Row],[_ShownFcstStart]],WorkWeek,Holidays),0)</f>
        <v>0</v>
      </c>
      <c r="DY110" s="41" t="n">
        <f aca="false">IF(AND(Tasks[[#This Row],[_IsLeaf]]=1,Tasks[[#This Row],[_LeafTotalWork]]&gt;0),MAX(Tasks[[#This Row],[_StartWorkday]],NETWORKDAYS.INTL(ProjectStart,Tasks[[#This Row],[_ShownFcstFinish]],WorkWeek,Holidays)),0)</f>
        <v>0</v>
      </c>
      <c r="DZ110" s="41" t="n">
        <f aca="false">IF(AND(Tasks[[#This Row],[_IsLeaf]]=1,Tasks[[#This Row],[_LeafTotalWork]]&gt;0),Tasks[[#This Row],[_LeafWork]]/(Tasks[[#This Row],[_FinishWorkday]]-Tasks[[#This Row],[_StartWorkday]]+1),0)</f>
        <v>0</v>
      </c>
      <c r="EA110" s="41" t="n">
        <f aca="false">Tasks[[#This Row],[_WorkPerWorkday]]*(Tasks[[#This Row],[_StartWorkday]]-1)</f>
        <v>-0</v>
      </c>
      <c r="EB110" s="41" t="n">
        <f aca="false">IF(Tasks[[#This Row],[_IsLeaf]]=1,MAX(N(Tasks[[#This Row],[Duration]]),0.1),0)</f>
        <v>0</v>
      </c>
      <c r="EC110" s="41" t="n">
        <f aca="false">Tasks[[#This Row],[_WeightDur]]*Tasks[[#This Row],[_LeafProgress]]</f>
        <v>0</v>
      </c>
      <c r="ED1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0" s="41" t="str">
        <f aca="false">IF(AND(Tasks[[#This Row],[_IsLeaf]]=1,N(Tasks[[#This Row],[Duration]])=0,Tasks[[#This Row],[_LeafProgress]]&lt;1),Tasks[[#This Row],[_ShownFcstFinish]]+Tasks[[#This Row],[_Row]]/100000,"")</f>
        <v/>
      </c>
      <c r="EF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0" s="41" t="n">
        <f aca="false">IF(NOT(Tasks[[#This Row],[_IsLeaf]]=1),0,IF(Tasks[[#This Row],[Baseline Cost]]="",Tasks[[#This Row],[_LeafTotalCost]],N(Tasks[[#This Row],[Baseline Cost]])))</f>
        <v>0</v>
      </c>
      <c r="EH110" s="41" t="n">
        <f aca="false">Tasks[[#This Row],[_LeafBudget]]*Tasks[[#This Row],[_PlannedPct]]</f>
        <v>0</v>
      </c>
      <c r="EI110" s="41" t="n">
        <f aca="false">Tasks[[#This Row],[_LeafBudget]]*Tasks[[#This Row],[_LeafProgress]]</f>
        <v>0</v>
      </c>
      <c r="EJ110" s="41" t="n">
        <f aca="false">IF(NOT(Tasks[[#This Row],[_IsLeaf]]=1),0,IF(Tasks[[#This Row],[Actual Cost]]="",Tasks[[#This Row],[_LeafTotalCost]]*Tasks[[#This Row],[_LeafProgress]],N(Tasks[[#This Row],[Actual Cost]])))</f>
        <v>0</v>
      </c>
      <c r="EK110" s="41" t="str">
        <f aca="false">IF(Tasks[[#This Row],[Task Name]]="","",LEFT(Tasks[[#This Row],[WBS]],FIND(".",Tasks[[#This Row],[WBS]]&amp;".")-1))</f>
        <v/>
      </c>
      <c r="EL110" s="41" t="str">
        <f aca="false">IF(AND(Tasks[[#This Row],[Task Name]]&lt;&gt;"",Tasks[[#This Row],[_Level]]=1),Tasks[[#This Row],[_Row]],"")</f>
        <v/>
      </c>
      <c r="EM110" s="41" t="str">
        <f aca="false">IF(AND(Tasks[[#This Row],[_IsLeaf]]=1,N(Tasks[[#This Row],[Duration]])=0),Tasks[[#This Row],[Planned Finish]]+Tasks[[#This Row],[_Row]]/100000,"")</f>
        <v/>
      </c>
      <c r="EN110" s="41" t="str">
        <f aca="false">IF(AND(Tasks[[#This Row],[_IsLeaf]]=1,Tasks[[#This Row],[_LeafProgress]]&lt;1,OR(N(Tasks[[#This Row],[Finish Var]])&gt;0,Tasks[[#This Row],[Status]]="Late Start")),MAX(0,Tasks[[#This Row],[Finish Var]])+1-Tasks[[#This Row],[_Row]]/1000000,"")</f>
        <v/>
      </c>
      <c r="EO110" s="41" t="str">
        <f aca="false">IF(AND(Tasks[[#This Row],[_IsLeaf]]=1,N(Tasks[[#This Row],[Actual Start]])=0,Tasks[[#This Row],[_ShownFcstStart]]&gt;=StatusDate,Tasks[[#This Row],[_ShownFcstStart]]&lt;=LookaheadEnd),Tasks[[#This Row],[_ShownFcstStart]]+Tasks[[#This Row],[_Row]]/100000,"")</f>
        <v/>
      </c>
      <c r="EP110" s="41" t="str">
        <f aca="false">IF(AND(Tasks[[#This Row],[_IsLeaf]]=1,Tasks[[#This Row],[_LeafProgress]]&lt;1,Tasks[[#This Row],[_ShownFcstFinish]]&gt;=StatusDate,Tasks[[#This Row],[_ShownFcstFinish]]&lt;=LookaheadEnd),Tasks[[#This Row],[_ShownFcstFinish]]+Tasks[[#This Row],[_Row]]/100000,"")</f>
        <v/>
      </c>
      <c r="EQ110" s="41" t="str">
        <f aca="false">IF(Tasks[[#This Row],[_LeafCritical]],Tasks[[#This Row],[_ShownFcstStart]]+Tasks[[#This Row],[_Row]]/100000,"")</f>
        <v/>
      </c>
      <c r="ER110" s="41" t="n">
        <f aca="false">Tasks[[#This Row],[_LeafWork]]*Tasks[[#This Row],[_LeafProgress]]</f>
        <v>0</v>
      </c>
      <c r="ES110" s="101" t="str">
        <f aca="false">IF(AND(Tasks[[#This Row],[_IsLeaf]]=1,Tasks[[#This Row],[_LeafProgress]]&gt;=1),IF(N(Tasks[[#This Row],[Actual Finish]])&gt;0,Tasks[[#This Row],[Actual Finish]],Tasks[[#This Row],[_ShownFcstFinish]]),"")</f>
        <v/>
      </c>
      <c r="ET110" s="41" t="n">
        <f aca="false">IF(Tasks[[#This Row],[_IsLeaf]]=1,N(Tasks[[#This Row],[Story Points]]),0)</f>
        <v>0</v>
      </c>
      <c r="EU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29"/>
      <c r="O111" s="29"/>
      <c r="P111" s="29"/>
      <c r="Q111" s="29"/>
      <c r="R111" s="29"/>
      <c r="S111" s="29"/>
      <c r="T111" s="30"/>
      <c r="U111" s="75"/>
      <c r="V111" s="75"/>
      <c r="W111" s="25" t="str">
        <f aca="false">IF(Tasks[[#This Row],[Task Name]]="","",IF(N(Tasks[[#This Row],[Baseline Start]])&gt;0,Tasks[[#This Row],[Baseline Start]],Tasks[[#This Row],[_CalcStart]]))</f>
        <v/>
      </c>
      <c r="X111" s="25" t="str">
        <f aca="false">IF(Tasks[[#This Row],[Task Name]]="","",IF(N(Tasks[[#This Row],[Baseline Finish]])&gt;0,Tasks[[#This Row],[Baseline Finish]],Tasks[[#This Row],[_CalcFinish]]))</f>
        <v/>
      </c>
      <c r="Y111" s="75"/>
      <c r="Z111" s="75"/>
      <c r="AA111" s="25" t="str">
        <f aca="false">IF(Tasks[[#This Row],[Task Name]]="","",IF(Tasks[[#This Row],[_IsSummary]],MIN(INDEX(Tasks[_ShownFcstStart],Tasks[[#This Row],[_Row]]+1):INDEX(Tasks[_ShownFcstStart],Tasks[[#This Row],[_Row]]+Tasks[[#This Row],[_Descendants]])),Tasks[[#This Row],[_ShownFcstStart]]))</f>
        <v/>
      </c>
      <c r="AB111" s="25" t="str">
        <f aca="false">IF(Tasks[[#This Row],[Task Name]]="","",IF(Tasks[[#This Row],[_IsSummary]],MAX(INDEX(Tasks[_ShownFcstFinish],Tasks[[#This Row],[_Row]]+1):INDEX(Tasks[_ShownFcstFinish],Tasks[[#This Row],[_Row]]+Tasks[[#This Row],[_Descendants]])),Tasks[[#This Row],[_ShownFcstFinish]]))</f>
        <v/>
      </c>
      <c r="AC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1" s="25" t="str">
        <f aca="false">IF(Tasks[[#This Row],[Task Name]]="","",IF(Tasks[[#This Row],[_IsSummary]],MIN(INDEX(Tasks[_LeafLateStart],Tasks[[#This Row],[_Row]]+1):INDEX(Tasks[_LeafLateStart],Tasks[[#This Row],[_Row]]+Tasks[[#This Row],[_Descendants]])),Tasks[[#This Row],[_LeafLateStart]]))</f>
        <v/>
      </c>
      <c r="AF111" s="25" t="str">
        <f aca="false">IF(Tasks[[#This Row],[Task Name]]="","",IF(Tasks[[#This Row],[_IsSummary]],MAX(INDEX(Tasks[_LeafLateFinish],Tasks[[#This Row],[_Row]]+1):INDEX(Tasks[_LeafLateFinish],Tasks[[#This Row],[_Row]]+Tasks[[#This Row],[_Descendants]])),Tasks[[#This Row],[_LeafLateFinish]]))</f>
        <v/>
      </c>
      <c r="AG111" s="28" t="str">
        <f aca="false">IF(Tasks[[#This Row],[Task Name]]="","",IF(Tasks[[#This Row],[_IsSummary]],MIN(INDEX(Tasks[_LeafTotalSlack],Tasks[[#This Row],[_Row]]+1):INDEX(Tasks[_LeafTotalSlack],Tasks[[#This Row],[_Row]]+Tasks[[#This Row],[_Descendants]])),Tasks[[#This Row],[_LeafTotalSlack]]))</f>
        <v/>
      </c>
      <c r="AH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1" s="28" t="str">
        <f aca="false">IF(Tasks[[#This Row],[Task Name]]="","",IF(IF(Tasks[[#This Row],[_IsSummary]],COUNTIF(INDEX(Tasks[_LeafCritical],Tasks[[#This Row],[_Row]]+1):INDEX(Tasks[_LeafCritical],Tasks[[#This Row],[_Row]]+Tasks[[#This Row],[_Descendants]]),TRUE())&gt;0,Tasks[[#This Row],[_LeafCritical]]),"Yes",""))</f>
        <v/>
      </c>
      <c r="AJ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1" s="89"/>
      <c r="AM1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1" s="28" t="str">
        <f aca="false">IF(Tasks[[#This Row],[Task Name]]="","",IF(Tasks[[#This Row],[Progress]]&gt;=1,"Complete",IF(OR(N(Tasks[[#This Row],[Actual Start]])&gt;0,Tasks[[#This Row],[Progress]]&gt;0),IF(Tasks[[#This Row],[Finish Var]]&gt;0,"Behind","In Progress"),IF(Tasks[[#This Row],[Planned Start]]&lt;StatusDate,"Late Start","Not Started"))))</f>
        <v/>
      </c>
      <c r="AO111" s="30"/>
      <c r="AP111" s="89"/>
      <c r="AQ1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1" s="96" t="str">
        <f aca="false">IF(Tasks[[#This Row],[Task Name]]="","",IF(Tasks[[#This Row],[_IsSummary]],SUM(INDEX(Tasks[_LeafTotalWork],Tasks[[#This Row],[_Row]]+1):INDEX(Tasks[_LeafTotalWork],Tasks[[#This Row],[_Row]]+Tasks[[#This Row],[_Descendants]])),Tasks[[#This Row],[_LeafTotalWork]]))</f>
        <v/>
      </c>
      <c r="AT111" s="97" t="str">
        <f aca="false">IF(Tasks[[#This Row],[Task Name]]="","",IF(Tasks[[#This Row],[_IsSummary]],SUM(INDEX(Tasks[_LeafTotalCost],Tasks[[#This Row],[_Row]]+1):INDEX(Tasks[_LeafTotalCost],Tasks[[#This Row],[_Row]]+Tasks[[#This Row],[_Descendants]])),Tasks[[#This Row],[_LeafTotalCost]]))</f>
        <v/>
      </c>
      <c r="AU111" s="98"/>
      <c r="AV111" s="29"/>
      <c r="AW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1" s="83"/>
      <c r="AY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1" s="30"/>
      <c r="BA111" s="25" t="str">
        <f aca="false">IF(Tasks[[#This Row],[Task Name]]="","",Tasks[[#This Row],[Forecast Start]])</f>
        <v/>
      </c>
      <c r="BB111" s="25" t="str">
        <f aca="false">IF(Tasks[[#This Row],[Task Name]]="","",Tasks[[#This Row],[Forecast Finish]])</f>
        <v/>
      </c>
      <c r="BC111" s="28" t="str">
        <f aca="false">IF(Tasks[[#This Row],[Task Name]]="","",IF(Tasks[[#This Row],[_IsSummary]],NETWORKDAYS.INTL(Tasks[[#This Row],[Forecast Start]],Tasks[[#This Row],[Forecast Finish]],WorkWeek,Holidays),N(Tasks[[#This Row],[Duration]])))</f>
        <v/>
      </c>
      <c r="BD111" s="96" t="str">
        <f aca="false">IF(Tasks[[#This Row],[Task Name]]="","",Tasks[[#This Row],[Work]])</f>
        <v/>
      </c>
      <c r="BE111" s="97" t="str">
        <f aca="false">IF(Tasks[[#This Row],[Task Name]]="","",Tasks[[#This Row],[Cost]])</f>
        <v/>
      </c>
      <c r="BF111" s="75"/>
      <c r="BG111" s="75"/>
      <c r="BH111" s="29"/>
      <c r="BI111" s="99"/>
      <c r="BJ111" s="98"/>
      <c r="BK111" s="28" t="str">
        <f aca="false">IF(OR(Tasks[[#This Row],[Task Name]]="",Tasks[[#This Row],[Baseline Duration]]=""),"",Tasks[[#This Row],[BL Source Duration]]-N(Tasks[[#This Row],[Baseline Duration]]))</f>
        <v/>
      </c>
      <c r="BL111" s="96" t="str">
        <f aca="false">IF(OR(Tasks[[#This Row],[Task Name]]="",Tasks[[#This Row],[Baseline Work]]=""),"",Tasks[[#This Row],[Work]]-N(Tasks[[#This Row],[Baseline Work]]))</f>
        <v/>
      </c>
      <c r="BM111" s="97" t="str">
        <f aca="false">IF(OR(Tasks[[#This Row],[Task Name]]="",Tasks[[#This Row],[Baseline Cost]]=""),"",Tasks[[#This Row],[Cost]]-N(Tasks[[#This Row],[Baseline Cost]]))</f>
        <v/>
      </c>
      <c r="BN111" s="97" t="str">
        <f aca="false">IF(Tasks[[#This Row],[Task Name]]="","",IF(Tasks[[#This Row],[_IsSummary]],SUM(INDEX(Tasks[_LeafBudget],Tasks[[#This Row],[_Row]]+1):INDEX(Tasks[_LeafBudget],Tasks[[#This Row],[_Row]]+Tasks[[#This Row],[_Descendants]])),Tasks[[#This Row],[_LeafBudget]]))</f>
        <v/>
      </c>
      <c r="BO111" s="97" t="str">
        <f aca="false">IF(Tasks[[#This Row],[Task Name]]="","",IF(Tasks[[#This Row],[_IsSummary]],SUM(INDEX(Tasks[_LeafPV],Tasks[[#This Row],[_Row]]+1):INDEX(Tasks[_LeafPV],Tasks[[#This Row],[_Row]]+Tasks[[#This Row],[_Descendants]])),Tasks[[#This Row],[_LeafPV]]))</f>
        <v/>
      </c>
      <c r="BP111" s="97" t="str">
        <f aca="false">IF(Tasks[[#This Row],[Task Name]]="","",IF(Tasks[[#This Row],[_IsSummary]],SUM(INDEX(Tasks[_LeafEV],Tasks[[#This Row],[_Row]]+1):INDEX(Tasks[_LeafEV],Tasks[[#This Row],[_Row]]+Tasks[[#This Row],[_Descendants]])),Tasks[[#This Row],[_LeafEV]]))</f>
        <v/>
      </c>
      <c r="BQ111" s="97" t="str">
        <f aca="false">IF(Tasks[[#This Row],[Task Name]]="","",IF(Tasks[[#This Row],[_IsSummary]],SUM(INDEX(Tasks[_LeafAC],Tasks[[#This Row],[_Row]]+1):INDEX(Tasks[_LeafAC],Tasks[[#This Row],[_Row]]+Tasks[[#This Row],[_Descendants]])),Tasks[[#This Row],[_LeafAC]]))</f>
        <v/>
      </c>
      <c r="BR111" s="41" t="str">
        <f aca="false">IF(Tasks[[#This Row],[Task Name]]="","",MAX(1,N(Tasks[[#This Row],[Level]])))</f>
        <v/>
      </c>
      <c r="BS111" s="41" t="n">
        <f aca="false">ROW()-ROW(Tasks[[#Headers],[ID]])</f>
        <v>106</v>
      </c>
      <c r="BT111" s="41" t="n">
        <f aca="false">IF(OR(Tasks[[#This Row],[Task Name]]="",Tasks[[#This Row],[_Level]]&lt;=1),0,IFERROR(LOOKUP(2,1/(Tasks[[#Headers],[_Level]]:Tasks[[#This Row],[_Level]]=Tasks[[#This Row],[_Level]]-1),ROW(Tasks[[#Headers],[_Level]]:Tasks[[#This Row],[_Level]])),0))</f>
        <v>0</v>
      </c>
      <c r="BU111" s="41" t="n">
        <f aca="false">IFERROR(N(INDEX(Tasks[_Level],Tasks[[#This Row],[_Row]]+1)),0)</f>
        <v>0</v>
      </c>
      <c r="BV111" s="100" t="b">
        <f aca="false">AND(Tasks[[#This Row],[Task Name]]&lt;&gt;"",Tasks[[#This Row],[_NextLevel]]&gt;Tasks[[#This Row],[_Level]])</f>
        <v>0</v>
      </c>
      <c r="BW111" s="41" t="n">
        <f aca="false">IF(Tasks[[#This Row],[_IsSummary]],COUNTIF(Tasks[WBS],Tasks[[#This Row],[WBS]]&amp;".*"),0)</f>
        <v>0</v>
      </c>
      <c r="BX111" s="41" t="n">
        <f aca="false">IF(AND(Tasks[[#This Row],[Task Name]]&lt;&gt;"",NOT(Tasks[[#This Row],[_IsSummary]])),1,0)</f>
        <v>0</v>
      </c>
      <c r="BY111" s="41" t="n">
        <f aca="false">IF(N(Tasks[[#This Row],[Pred1 UID]])=0,0,IFERROR(MATCH(Tasks[[#This Row],[Pred1 UID]],Tasks[UID],0),-1))</f>
        <v>0</v>
      </c>
      <c r="BZ111" s="41" t="n">
        <f aca="false">IF(N(Tasks[[#This Row],[Pred2 UID]])=0,0,IFERROR(MATCH(Tasks[[#This Row],[Pred2 UID]],Tasks[UID],0),-1))</f>
        <v>0</v>
      </c>
      <c r="CA111" s="41" t="n">
        <f aca="false">IF(N(Tasks[[#This Row],[Pred3 UID]])=0,0,IFERROR(MATCH(Tasks[[#This Row],[Pred3 UID]],Tasks[UID],0),-1))</f>
        <v>0</v>
      </c>
      <c r="CB111" s="41" t="n">
        <f aca="false">IF(N(Tasks[[#This Row],[Pred4 UID]])=0,0,IFERROR(MATCH(Tasks[[#This Row],[Pred4 UID]],Tasks[UID],0),-1))</f>
        <v>0</v>
      </c>
      <c r="CC1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1" s="101" t="n">
        <f aca="false">IF(OR(Tasks[[#This Row],[_ConstraintCode]]=2,Tasks[[#This Row],[_ConstraintCode]]=3,Tasks[[#This Row],[_ConstraintCode]]=4,Tasks[[#This Row],[_ConstraintCode]]=6),Tasks[[#This Row],[_ConstraintStart]],0)</f>
        <v>0</v>
      </c>
      <c r="CF111" s="101" t="n">
        <f aca="false">IF(OR(Tasks[[#This Row],[_ConstraintCode]]=2,Tasks[[#This Row],[_ConstraintCode]]=3,Tasks[[#This Row],[_ConstraintCode]]=5,Tasks[[#This Row],[_ConstraintCode]]=7),Tasks[[#This Row],[_ConstraintStart]],2958465)</f>
        <v>2958465</v>
      </c>
      <c r="CG11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1" s="101" t="str">
        <f aca="false">IF(NOT(Tasks[[#This Row],[_IsLeaf]]=1),"",IF(N(Tasks[[#This Row],[Duration]])&lt;=0,Tasks[[#This Row],[_LeafCalcStart]],WORKDAY.INTL(Tasks[[#This Row],[_LeafCalcStart]],Tasks[[#This Row],[Duration]]-1,WorkWeek,Holidays)))</f>
        <v/>
      </c>
      <c r="CI11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1" s="41" t="n">
        <f aca="false">IF(NOT(Tasks[[#This Row],[_IsLeaf]]=1),0,IF(N(Tasks[[#This Row],[Actual Finish]])&gt;0,1,MIN(1,N(Tasks[[#This Row],[% Complete]]))))</f>
        <v>0</v>
      </c>
      <c r="CL111" s="41" t="n">
        <f aca="false">IF(OR(NOT(Tasks[[#This Row],[_IsLeaf]]=1),Tasks[[#This Row],[Resource]]=""),0,N(Tasks[[#This Row],[Duration]])*HoursPerDay*IF(Tasks[[#This Row],[Units]]="",DefaultUnits,Tasks[[#This Row],[Units]]))</f>
        <v>0</v>
      </c>
      <c r="CM111" s="41" t="n">
        <f aca="false">IF(Tasks[[#This Row],[_LeafWork]]=0,0,Tasks[[#This Row],[_LeafWork]]*IFERROR(INDEX(res_Rate,MATCH(Tasks[[#This Row],[Resource]],res_Name,0)),0))</f>
        <v>0</v>
      </c>
      <c r="CN111" s="41" t="n">
        <f aca="false">Tasks[[#This Row],[_LeafWork]]+IF(Tasks[[#This Row],[_IsLeaf]]=1,SUMIFS(asg_Work,asg_TaskUID,Tasks[[#This Row],[UID]],asg_Valid,1),0)</f>
        <v>0</v>
      </c>
      <c r="CO111" s="41" t="n">
        <f aca="false">Tasks[[#This Row],[_LeafCost]]+IF(Tasks[[#This Row],[_IsLeaf]]=1,SUMIFS(asg_Cost,asg_TaskUID,Tasks[[#This Row],[UID]],asg_Valid,1),0)</f>
        <v>0</v>
      </c>
      <c r="CP111" s="41" t="n">
        <f aca="false">IF(Tasks[[#This Row],[_LeafTotalCost]]=0,Tasks[[#This Row],[_LeafAC]],Tasks[[#This Row],[_LeafAC]]*Tasks[[#This Row],[_LeafCost]]/Tasks[[#This Row],[_LeafTotalCost]])</f>
        <v>0</v>
      </c>
      <c r="CQ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1" s="41" t="n">
        <f aca="false">IF(NOT(Tasks[[#This Row],[_IsLeaf]]=1),0,MAX(_xlfn.MAXIFS(Tasks[_Row],Tasks[Pred1 UID],Tasks[[#This Row],[UID]]),_xlfn.MAXIFS(Tasks[_Row],Tasks[Pred2 UID],Tasks[[#This Row],[UID]]),_xlfn.MAXIFS(Tasks[_Row],Tasks[Pred3 UID],Tasks[[#This Row],[UID]]),_xlfn.MAXIFS(Tasks[_Row],Tasks[Pred4 UID],Tasks[[#This Row],[UID]])))</f>
        <v>0</v>
      </c>
      <c r="CZ1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1" s="101" t="str">
        <f aca="false">IF(NOT(Tasks[[#This Row],[_IsLeaf]]=1),"",IF(N(Tasks[[#This Row],[Duration]])&lt;=0,Tasks[[#This Row],[_LeafLateFinish]],WORKDAY.INTL(Tasks[[#This Row],[_LeafLateFinish]],-(Tasks[[#This Row],[Duration]]-1),WorkWeek,Holidays)))</f>
        <v/>
      </c>
      <c r="DC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1" s="100" t="b">
        <f aca="false">AND(Tasks[[#This Row],[_IsLeaf]]=1,Tasks[[#This Row],[_LeafProgress]]&lt;1,N(Tasks[[#This Row],[_LeafTotalSlack]])&lt;=CriticalSlackDays)</f>
        <v>0</v>
      </c>
      <c r="DE111" s="41" t="n">
        <f aca="false">IF(AND(Tasks[[#This Row],[_IsLeaf]]=1,Tasks[[#This Row],[_ConstraintCode]]=1,Tasks[[#This Row],[Mode]]&lt;&gt;"Manual",N(Tasks[[#This Row],[Actual Start]])=0),MAX(0,N(Tasks[[#This Row],[Free Slack]])),0)</f>
        <v>0</v>
      </c>
      <c r="DF111" s="101" t="str">
        <f aca="false">IF(NOT(Tasks[[#This Row],[_IsLeaf]]=1),"",IF(Tasks[[#This Row],[_AlapShift]]=0,Tasks[[#This Row],[_LeafCalcStart]],WORKDAY.INTL(Tasks[[#This Row],[_LeafCalcStart]],Tasks[[#This Row],[_AlapShift]],WorkWeek,Holidays)))</f>
        <v/>
      </c>
      <c r="DG111" s="101" t="str">
        <f aca="false">IF(NOT(Tasks[[#This Row],[_IsLeaf]]=1),"",IF(Tasks[[#This Row],[_AlapShift]]=0,Tasks[[#This Row],[_LeafCalcFinish]],WORKDAY.INTL(Tasks[[#This Row],[_LeafCalcFinish]],Tasks[[#This Row],[_AlapShift]],WorkWeek,Holidays)))</f>
        <v/>
      </c>
      <c r="DH111" s="101" t="str">
        <f aca="false">IF(NOT(Tasks[[#This Row],[_IsLeaf]]=1),"",IF(Tasks[[#This Row],[_AlapShift]]=0,Tasks[[#This Row],[_LeafFcstStart]],WORKDAY.INTL(Tasks[[#This Row],[_LeafFcstStart]],Tasks[[#This Row],[_AlapShift]],WorkWeek,Holidays)))</f>
        <v/>
      </c>
      <c r="DI111" s="101" t="str">
        <f aca="false">IF(NOT(Tasks[[#This Row],[_IsLeaf]]=1),"",IF(Tasks[[#This Row],[_AlapShift]]=0,Tasks[[#This Row],[_LeafFcstFinish]],WORKDAY.INTL(Tasks[[#This Row],[_LeafFcstFinish]],Tasks[[#This Row],[_AlapShift]],WorkWeek,Holidays)))</f>
        <v/>
      </c>
      <c r="DJ111" s="101" t="str">
        <f aca="false">IF(Tasks[[#This Row],[Task Name]]="","",IF(Tasks[[#This Row],[_IsSummary]],MIN(INDEX(Tasks[_ShownCalcStart],Tasks[[#This Row],[_Row]]+1):INDEX(Tasks[_ShownCalcStart],Tasks[[#This Row],[_Row]]+Tasks[[#This Row],[_Descendants]])),Tasks[[#This Row],[_ShownCalcStart]]))</f>
        <v/>
      </c>
      <c r="DK111" s="101" t="str">
        <f aca="false">IF(Tasks[[#This Row],[Task Name]]="","",IF(Tasks[[#This Row],[_IsSummary]],MAX(INDEX(Tasks[_ShownCalcFinish],Tasks[[#This Row],[_Row]]+1):INDEX(Tasks[_ShownCalcFinish],Tasks[[#This Row],[_Row]]+Tasks[[#This Row],[_Descendants]])),Tasks[[#This Row],[_ShownCalcFinish]]))</f>
        <v/>
      </c>
      <c r="D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1" s="41" t="n">
        <f aca="false">IF(AND(Tasks[[#This Row],[_IsLeaf]]=1,Tasks[[#This Row],[_LeafTotalWork]]&gt;0),NETWORKDAYS.INTL(ProjectStart,Tasks[[#This Row],[_ShownFcstStart]],WorkWeek,Holidays),0)</f>
        <v>0</v>
      </c>
      <c r="DY111" s="41" t="n">
        <f aca="false">IF(AND(Tasks[[#This Row],[_IsLeaf]]=1,Tasks[[#This Row],[_LeafTotalWork]]&gt;0),MAX(Tasks[[#This Row],[_StartWorkday]],NETWORKDAYS.INTL(ProjectStart,Tasks[[#This Row],[_ShownFcstFinish]],WorkWeek,Holidays)),0)</f>
        <v>0</v>
      </c>
      <c r="DZ111" s="41" t="n">
        <f aca="false">IF(AND(Tasks[[#This Row],[_IsLeaf]]=1,Tasks[[#This Row],[_LeafTotalWork]]&gt;0),Tasks[[#This Row],[_LeafWork]]/(Tasks[[#This Row],[_FinishWorkday]]-Tasks[[#This Row],[_StartWorkday]]+1),0)</f>
        <v>0</v>
      </c>
      <c r="EA111" s="41" t="n">
        <f aca="false">Tasks[[#This Row],[_WorkPerWorkday]]*(Tasks[[#This Row],[_StartWorkday]]-1)</f>
        <v>-0</v>
      </c>
      <c r="EB111" s="41" t="n">
        <f aca="false">IF(Tasks[[#This Row],[_IsLeaf]]=1,MAX(N(Tasks[[#This Row],[Duration]]),0.1),0)</f>
        <v>0</v>
      </c>
      <c r="EC111" s="41" t="n">
        <f aca="false">Tasks[[#This Row],[_WeightDur]]*Tasks[[#This Row],[_LeafProgress]]</f>
        <v>0</v>
      </c>
      <c r="ED1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1" s="41" t="str">
        <f aca="false">IF(AND(Tasks[[#This Row],[_IsLeaf]]=1,N(Tasks[[#This Row],[Duration]])=0,Tasks[[#This Row],[_LeafProgress]]&lt;1),Tasks[[#This Row],[_ShownFcstFinish]]+Tasks[[#This Row],[_Row]]/100000,"")</f>
        <v/>
      </c>
      <c r="EF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1" s="41" t="n">
        <f aca="false">IF(NOT(Tasks[[#This Row],[_IsLeaf]]=1),0,IF(Tasks[[#This Row],[Baseline Cost]]="",Tasks[[#This Row],[_LeafTotalCost]],N(Tasks[[#This Row],[Baseline Cost]])))</f>
        <v>0</v>
      </c>
      <c r="EH111" s="41" t="n">
        <f aca="false">Tasks[[#This Row],[_LeafBudget]]*Tasks[[#This Row],[_PlannedPct]]</f>
        <v>0</v>
      </c>
      <c r="EI111" s="41" t="n">
        <f aca="false">Tasks[[#This Row],[_LeafBudget]]*Tasks[[#This Row],[_LeafProgress]]</f>
        <v>0</v>
      </c>
      <c r="EJ111" s="41" t="n">
        <f aca="false">IF(NOT(Tasks[[#This Row],[_IsLeaf]]=1),0,IF(Tasks[[#This Row],[Actual Cost]]="",Tasks[[#This Row],[_LeafTotalCost]]*Tasks[[#This Row],[_LeafProgress]],N(Tasks[[#This Row],[Actual Cost]])))</f>
        <v>0</v>
      </c>
      <c r="EK111" s="41" t="str">
        <f aca="false">IF(Tasks[[#This Row],[Task Name]]="","",LEFT(Tasks[[#This Row],[WBS]],FIND(".",Tasks[[#This Row],[WBS]]&amp;".")-1))</f>
        <v/>
      </c>
      <c r="EL111" s="41" t="str">
        <f aca="false">IF(AND(Tasks[[#This Row],[Task Name]]&lt;&gt;"",Tasks[[#This Row],[_Level]]=1),Tasks[[#This Row],[_Row]],"")</f>
        <v/>
      </c>
      <c r="EM111" s="41" t="str">
        <f aca="false">IF(AND(Tasks[[#This Row],[_IsLeaf]]=1,N(Tasks[[#This Row],[Duration]])=0),Tasks[[#This Row],[Planned Finish]]+Tasks[[#This Row],[_Row]]/100000,"")</f>
        <v/>
      </c>
      <c r="EN111" s="41" t="str">
        <f aca="false">IF(AND(Tasks[[#This Row],[_IsLeaf]]=1,Tasks[[#This Row],[_LeafProgress]]&lt;1,OR(N(Tasks[[#This Row],[Finish Var]])&gt;0,Tasks[[#This Row],[Status]]="Late Start")),MAX(0,Tasks[[#This Row],[Finish Var]])+1-Tasks[[#This Row],[_Row]]/1000000,"")</f>
        <v/>
      </c>
      <c r="EO111" s="41" t="str">
        <f aca="false">IF(AND(Tasks[[#This Row],[_IsLeaf]]=1,N(Tasks[[#This Row],[Actual Start]])=0,Tasks[[#This Row],[_ShownFcstStart]]&gt;=StatusDate,Tasks[[#This Row],[_ShownFcstStart]]&lt;=LookaheadEnd),Tasks[[#This Row],[_ShownFcstStart]]+Tasks[[#This Row],[_Row]]/100000,"")</f>
        <v/>
      </c>
      <c r="EP111" s="41" t="str">
        <f aca="false">IF(AND(Tasks[[#This Row],[_IsLeaf]]=1,Tasks[[#This Row],[_LeafProgress]]&lt;1,Tasks[[#This Row],[_ShownFcstFinish]]&gt;=StatusDate,Tasks[[#This Row],[_ShownFcstFinish]]&lt;=LookaheadEnd),Tasks[[#This Row],[_ShownFcstFinish]]+Tasks[[#This Row],[_Row]]/100000,"")</f>
        <v/>
      </c>
      <c r="EQ111" s="41" t="str">
        <f aca="false">IF(Tasks[[#This Row],[_LeafCritical]],Tasks[[#This Row],[_ShownFcstStart]]+Tasks[[#This Row],[_Row]]/100000,"")</f>
        <v/>
      </c>
      <c r="ER111" s="41" t="n">
        <f aca="false">Tasks[[#This Row],[_LeafWork]]*Tasks[[#This Row],[_LeafProgress]]</f>
        <v>0</v>
      </c>
      <c r="ES111" s="101" t="str">
        <f aca="false">IF(AND(Tasks[[#This Row],[_IsLeaf]]=1,Tasks[[#This Row],[_LeafProgress]]&gt;=1),IF(N(Tasks[[#This Row],[Actual Finish]])&gt;0,Tasks[[#This Row],[Actual Finish]],Tasks[[#This Row],[_ShownFcstFinish]]),"")</f>
        <v/>
      </c>
      <c r="ET111" s="41" t="n">
        <f aca="false">IF(Tasks[[#This Row],[_IsLeaf]]=1,N(Tasks[[#This Row],[Story Points]]),0)</f>
        <v>0</v>
      </c>
      <c r="EU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29"/>
      <c r="O112" s="29"/>
      <c r="P112" s="29"/>
      <c r="Q112" s="29"/>
      <c r="R112" s="29"/>
      <c r="S112" s="29"/>
      <c r="T112" s="30"/>
      <c r="U112" s="75"/>
      <c r="V112" s="75"/>
      <c r="W112" s="25" t="str">
        <f aca="false">IF(Tasks[[#This Row],[Task Name]]="","",IF(N(Tasks[[#This Row],[Baseline Start]])&gt;0,Tasks[[#This Row],[Baseline Start]],Tasks[[#This Row],[_CalcStart]]))</f>
        <v/>
      </c>
      <c r="X112" s="25" t="str">
        <f aca="false">IF(Tasks[[#This Row],[Task Name]]="","",IF(N(Tasks[[#This Row],[Baseline Finish]])&gt;0,Tasks[[#This Row],[Baseline Finish]],Tasks[[#This Row],[_CalcFinish]]))</f>
        <v/>
      </c>
      <c r="Y112" s="75"/>
      <c r="Z112" s="75"/>
      <c r="AA112" s="25" t="str">
        <f aca="false">IF(Tasks[[#This Row],[Task Name]]="","",IF(Tasks[[#This Row],[_IsSummary]],MIN(INDEX(Tasks[_ShownFcstStart],Tasks[[#This Row],[_Row]]+1):INDEX(Tasks[_ShownFcstStart],Tasks[[#This Row],[_Row]]+Tasks[[#This Row],[_Descendants]])),Tasks[[#This Row],[_ShownFcstStart]]))</f>
        <v/>
      </c>
      <c r="AB112" s="25" t="str">
        <f aca="false">IF(Tasks[[#This Row],[Task Name]]="","",IF(Tasks[[#This Row],[_IsSummary]],MAX(INDEX(Tasks[_ShownFcstFinish],Tasks[[#This Row],[_Row]]+1):INDEX(Tasks[_ShownFcstFinish],Tasks[[#This Row],[_Row]]+Tasks[[#This Row],[_Descendants]])),Tasks[[#This Row],[_ShownFcstFinish]]))</f>
        <v/>
      </c>
      <c r="AC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2" s="25" t="str">
        <f aca="false">IF(Tasks[[#This Row],[Task Name]]="","",IF(Tasks[[#This Row],[_IsSummary]],MIN(INDEX(Tasks[_LeafLateStart],Tasks[[#This Row],[_Row]]+1):INDEX(Tasks[_LeafLateStart],Tasks[[#This Row],[_Row]]+Tasks[[#This Row],[_Descendants]])),Tasks[[#This Row],[_LeafLateStart]]))</f>
        <v/>
      </c>
      <c r="AF112" s="25" t="str">
        <f aca="false">IF(Tasks[[#This Row],[Task Name]]="","",IF(Tasks[[#This Row],[_IsSummary]],MAX(INDEX(Tasks[_LeafLateFinish],Tasks[[#This Row],[_Row]]+1):INDEX(Tasks[_LeafLateFinish],Tasks[[#This Row],[_Row]]+Tasks[[#This Row],[_Descendants]])),Tasks[[#This Row],[_LeafLateFinish]]))</f>
        <v/>
      </c>
      <c r="AG112" s="28" t="str">
        <f aca="false">IF(Tasks[[#This Row],[Task Name]]="","",IF(Tasks[[#This Row],[_IsSummary]],MIN(INDEX(Tasks[_LeafTotalSlack],Tasks[[#This Row],[_Row]]+1):INDEX(Tasks[_LeafTotalSlack],Tasks[[#This Row],[_Row]]+Tasks[[#This Row],[_Descendants]])),Tasks[[#This Row],[_LeafTotalSlack]]))</f>
        <v/>
      </c>
      <c r="AH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2" s="28" t="str">
        <f aca="false">IF(Tasks[[#This Row],[Task Name]]="","",IF(IF(Tasks[[#This Row],[_IsSummary]],COUNTIF(INDEX(Tasks[_LeafCritical],Tasks[[#This Row],[_Row]]+1):INDEX(Tasks[_LeafCritical],Tasks[[#This Row],[_Row]]+Tasks[[#This Row],[_Descendants]]),TRUE())&gt;0,Tasks[[#This Row],[_LeafCritical]]),"Yes",""))</f>
        <v/>
      </c>
      <c r="AJ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2" s="89"/>
      <c r="AM1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2" s="28" t="str">
        <f aca="false">IF(Tasks[[#This Row],[Task Name]]="","",IF(Tasks[[#This Row],[Progress]]&gt;=1,"Complete",IF(OR(N(Tasks[[#This Row],[Actual Start]])&gt;0,Tasks[[#This Row],[Progress]]&gt;0),IF(Tasks[[#This Row],[Finish Var]]&gt;0,"Behind","In Progress"),IF(Tasks[[#This Row],[Planned Start]]&lt;StatusDate,"Late Start","Not Started"))))</f>
        <v/>
      </c>
      <c r="AO112" s="30"/>
      <c r="AP112" s="89"/>
      <c r="AQ1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2" s="96" t="str">
        <f aca="false">IF(Tasks[[#This Row],[Task Name]]="","",IF(Tasks[[#This Row],[_IsSummary]],SUM(INDEX(Tasks[_LeafTotalWork],Tasks[[#This Row],[_Row]]+1):INDEX(Tasks[_LeafTotalWork],Tasks[[#This Row],[_Row]]+Tasks[[#This Row],[_Descendants]])),Tasks[[#This Row],[_LeafTotalWork]]))</f>
        <v/>
      </c>
      <c r="AT112" s="97" t="str">
        <f aca="false">IF(Tasks[[#This Row],[Task Name]]="","",IF(Tasks[[#This Row],[_IsSummary]],SUM(INDEX(Tasks[_LeafTotalCost],Tasks[[#This Row],[_Row]]+1):INDEX(Tasks[_LeafTotalCost],Tasks[[#This Row],[_Row]]+Tasks[[#This Row],[_Descendants]])),Tasks[[#This Row],[_LeafTotalCost]]))</f>
        <v/>
      </c>
      <c r="AU112" s="98"/>
      <c r="AV112" s="29"/>
      <c r="AW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2" s="83"/>
      <c r="AY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2" s="30"/>
      <c r="BA112" s="25" t="str">
        <f aca="false">IF(Tasks[[#This Row],[Task Name]]="","",Tasks[[#This Row],[Forecast Start]])</f>
        <v/>
      </c>
      <c r="BB112" s="25" t="str">
        <f aca="false">IF(Tasks[[#This Row],[Task Name]]="","",Tasks[[#This Row],[Forecast Finish]])</f>
        <v/>
      </c>
      <c r="BC112" s="28" t="str">
        <f aca="false">IF(Tasks[[#This Row],[Task Name]]="","",IF(Tasks[[#This Row],[_IsSummary]],NETWORKDAYS.INTL(Tasks[[#This Row],[Forecast Start]],Tasks[[#This Row],[Forecast Finish]],WorkWeek,Holidays),N(Tasks[[#This Row],[Duration]])))</f>
        <v/>
      </c>
      <c r="BD112" s="96" t="str">
        <f aca="false">IF(Tasks[[#This Row],[Task Name]]="","",Tasks[[#This Row],[Work]])</f>
        <v/>
      </c>
      <c r="BE112" s="97" t="str">
        <f aca="false">IF(Tasks[[#This Row],[Task Name]]="","",Tasks[[#This Row],[Cost]])</f>
        <v/>
      </c>
      <c r="BF112" s="75"/>
      <c r="BG112" s="75"/>
      <c r="BH112" s="29"/>
      <c r="BI112" s="99"/>
      <c r="BJ112" s="98"/>
      <c r="BK112" s="28" t="str">
        <f aca="false">IF(OR(Tasks[[#This Row],[Task Name]]="",Tasks[[#This Row],[Baseline Duration]]=""),"",Tasks[[#This Row],[BL Source Duration]]-N(Tasks[[#This Row],[Baseline Duration]]))</f>
        <v/>
      </c>
      <c r="BL112" s="96" t="str">
        <f aca="false">IF(OR(Tasks[[#This Row],[Task Name]]="",Tasks[[#This Row],[Baseline Work]]=""),"",Tasks[[#This Row],[Work]]-N(Tasks[[#This Row],[Baseline Work]]))</f>
        <v/>
      </c>
      <c r="BM112" s="97" t="str">
        <f aca="false">IF(OR(Tasks[[#This Row],[Task Name]]="",Tasks[[#This Row],[Baseline Cost]]=""),"",Tasks[[#This Row],[Cost]]-N(Tasks[[#This Row],[Baseline Cost]]))</f>
        <v/>
      </c>
      <c r="BN112" s="97" t="str">
        <f aca="false">IF(Tasks[[#This Row],[Task Name]]="","",IF(Tasks[[#This Row],[_IsSummary]],SUM(INDEX(Tasks[_LeafBudget],Tasks[[#This Row],[_Row]]+1):INDEX(Tasks[_LeafBudget],Tasks[[#This Row],[_Row]]+Tasks[[#This Row],[_Descendants]])),Tasks[[#This Row],[_LeafBudget]]))</f>
        <v/>
      </c>
      <c r="BO112" s="97" t="str">
        <f aca="false">IF(Tasks[[#This Row],[Task Name]]="","",IF(Tasks[[#This Row],[_IsSummary]],SUM(INDEX(Tasks[_LeafPV],Tasks[[#This Row],[_Row]]+1):INDEX(Tasks[_LeafPV],Tasks[[#This Row],[_Row]]+Tasks[[#This Row],[_Descendants]])),Tasks[[#This Row],[_LeafPV]]))</f>
        <v/>
      </c>
      <c r="BP112" s="97" t="str">
        <f aca="false">IF(Tasks[[#This Row],[Task Name]]="","",IF(Tasks[[#This Row],[_IsSummary]],SUM(INDEX(Tasks[_LeafEV],Tasks[[#This Row],[_Row]]+1):INDEX(Tasks[_LeafEV],Tasks[[#This Row],[_Row]]+Tasks[[#This Row],[_Descendants]])),Tasks[[#This Row],[_LeafEV]]))</f>
        <v/>
      </c>
      <c r="BQ112" s="97" t="str">
        <f aca="false">IF(Tasks[[#This Row],[Task Name]]="","",IF(Tasks[[#This Row],[_IsSummary]],SUM(INDEX(Tasks[_LeafAC],Tasks[[#This Row],[_Row]]+1):INDEX(Tasks[_LeafAC],Tasks[[#This Row],[_Row]]+Tasks[[#This Row],[_Descendants]])),Tasks[[#This Row],[_LeafAC]]))</f>
        <v/>
      </c>
      <c r="BR112" s="41" t="str">
        <f aca="false">IF(Tasks[[#This Row],[Task Name]]="","",MAX(1,N(Tasks[[#This Row],[Level]])))</f>
        <v/>
      </c>
      <c r="BS112" s="41" t="n">
        <f aca="false">ROW()-ROW(Tasks[[#Headers],[ID]])</f>
        <v>107</v>
      </c>
      <c r="BT112" s="41" t="n">
        <f aca="false">IF(OR(Tasks[[#This Row],[Task Name]]="",Tasks[[#This Row],[_Level]]&lt;=1),0,IFERROR(LOOKUP(2,1/(Tasks[[#Headers],[_Level]]:Tasks[[#This Row],[_Level]]=Tasks[[#This Row],[_Level]]-1),ROW(Tasks[[#Headers],[_Level]]:Tasks[[#This Row],[_Level]])),0))</f>
        <v>0</v>
      </c>
      <c r="BU112" s="41" t="n">
        <f aca="false">IFERROR(N(INDEX(Tasks[_Level],Tasks[[#This Row],[_Row]]+1)),0)</f>
        <v>0</v>
      </c>
      <c r="BV112" s="100" t="b">
        <f aca="false">AND(Tasks[[#This Row],[Task Name]]&lt;&gt;"",Tasks[[#This Row],[_NextLevel]]&gt;Tasks[[#This Row],[_Level]])</f>
        <v>0</v>
      </c>
      <c r="BW112" s="41" t="n">
        <f aca="false">IF(Tasks[[#This Row],[_IsSummary]],COUNTIF(Tasks[WBS],Tasks[[#This Row],[WBS]]&amp;".*"),0)</f>
        <v>0</v>
      </c>
      <c r="BX112" s="41" t="n">
        <f aca="false">IF(AND(Tasks[[#This Row],[Task Name]]&lt;&gt;"",NOT(Tasks[[#This Row],[_IsSummary]])),1,0)</f>
        <v>0</v>
      </c>
      <c r="BY112" s="41" t="n">
        <f aca="false">IF(N(Tasks[[#This Row],[Pred1 UID]])=0,0,IFERROR(MATCH(Tasks[[#This Row],[Pred1 UID]],Tasks[UID],0),-1))</f>
        <v>0</v>
      </c>
      <c r="BZ112" s="41" t="n">
        <f aca="false">IF(N(Tasks[[#This Row],[Pred2 UID]])=0,0,IFERROR(MATCH(Tasks[[#This Row],[Pred2 UID]],Tasks[UID],0),-1))</f>
        <v>0</v>
      </c>
      <c r="CA112" s="41" t="n">
        <f aca="false">IF(N(Tasks[[#This Row],[Pred3 UID]])=0,0,IFERROR(MATCH(Tasks[[#This Row],[Pred3 UID]],Tasks[UID],0),-1))</f>
        <v>0</v>
      </c>
      <c r="CB112" s="41" t="n">
        <f aca="false">IF(N(Tasks[[#This Row],[Pred4 UID]])=0,0,IFERROR(MATCH(Tasks[[#This Row],[Pred4 UID]],Tasks[UID],0),-1))</f>
        <v>0</v>
      </c>
      <c r="CC1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2" s="101" t="n">
        <f aca="false">IF(OR(Tasks[[#This Row],[_ConstraintCode]]=2,Tasks[[#This Row],[_ConstraintCode]]=3,Tasks[[#This Row],[_ConstraintCode]]=4,Tasks[[#This Row],[_ConstraintCode]]=6),Tasks[[#This Row],[_ConstraintStart]],0)</f>
        <v>0</v>
      </c>
      <c r="CF112" s="101" t="n">
        <f aca="false">IF(OR(Tasks[[#This Row],[_ConstraintCode]]=2,Tasks[[#This Row],[_ConstraintCode]]=3,Tasks[[#This Row],[_ConstraintCode]]=5,Tasks[[#This Row],[_ConstraintCode]]=7),Tasks[[#This Row],[_ConstraintStart]],2958465)</f>
        <v>2958465</v>
      </c>
      <c r="CG11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2" s="101" t="str">
        <f aca="false">IF(NOT(Tasks[[#This Row],[_IsLeaf]]=1),"",IF(N(Tasks[[#This Row],[Duration]])&lt;=0,Tasks[[#This Row],[_LeafCalcStart]],WORKDAY.INTL(Tasks[[#This Row],[_LeafCalcStart]],Tasks[[#This Row],[Duration]]-1,WorkWeek,Holidays)))</f>
        <v/>
      </c>
      <c r="CI11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2" s="41" t="n">
        <f aca="false">IF(NOT(Tasks[[#This Row],[_IsLeaf]]=1),0,IF(N(Tasks[[#This Row],[Actual Finish]])&gt;0,1,MIN(1,N(Tasks[[#This Row],[% Complete]]))))</f>
        <v>0</v>
      </c>
      <c r="CL112" s="41" t="n">
        <f aca="false">IF(OR(NOT(Tasks[[#This Row],[_IsLeaf]]=1),Tasks[[#This Row],[Resource]]=""),0,N(Tasks[[#This Row],[Duration]])*HoursPerDay*IF(Tasks[[#This Row],[Units]]="",DefaultUnits,Tasks[[#This Row],[Units]]))</f>
        <v>0</v>
      </c>
      <c r="CM112" s="41" t="n">
        <f aca="false">IF(Tasks[[#This Row],[_LeafWork]]=0,0,Tasks[[#This Row],[_LeafWork]]*IFERROR(INDEX(res_Rate,MATCH(Tasks[[#This Row],[Resource]],res_Name,0)),0))</f>
        <v>0</v>
      </c>
      <c r="CN112" s="41" t="n">
        <f aca="false">Tasks[[#This Row],[_LeafWork]]+IF(Tasks[[#This Row],[_IsLeaf]]=1,SUMIFS(asg_Work,asg_TaskUID,Tasks[[#This Row],[UID]],asg_Valid,1),0)</f>
        <v>0</v>
      </c>
      <c r="CO112" s="41" t="n">
        <f aca="false">Tasks[[#This Row],[_LeafCost]]+IF(Tasks[[#This Row],[_IsLeaf]]=1,SUMIFS(asg_Cost,asg_TaskUID,Tasks[[#This Row],[UID]],asg_Valid,1),0)</f>
        <v>0</v>
      </c>
      <c r="CP112" s="41" t="n">
        <f aca="false">IF(Tasks[[#This Row],[_LeafTotalCost]]=0,Tasks[[#This Row],[_LeafAC]],Tasks[[#This Row],[_LeafAC]]*Tasks[[#This Row],[_LeafCost]]/Tasks[[#This Row],[_LeafTotalCost]])</f>
        <v>0</v>
      </c>
      <c r="CQ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2" s="41" t="n">
        <f aca="false">IF(NOT(Tasks[[#This Row],[_IsLeaf]]=1),0,MAX(_xlfn.MAXIFS(Tasks[_Row],Tasks[Pred1 UID],Tasks[[#This Row],[UID]]),_xlfn.MAXIFS(Tasks[_Row],Tasks[Pred2 UID],Tasks[[#This Row],[UID]]),_xlfn.MAXIFS(Tasks[_Row],Tasks[Pred3 UID],Tasks[[#This Row],[UID]]),_xlfn.MAXIFS(Tasks[_Row],Tasks[Pred4 UID],Tasks[[#This Row],[UID]])))</f>
        <v>0</v>
      </c>
      <c r="CZ1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2" s="101" t="str">
        <f aca="false">IF(NOT(Tasks[[#This Row],[_IsLeaf]]=1),"",IF(N(Tasks[[#This Row],[Duration]])&lt;=0,Tasks[[#This Row],[_LeafLateFinish]],WORKDAY.INTL(Tasks[[#This Row],[_LeafLateFinish]],-(Tasks[[#This Row],[Duration]]-1),WorkWeek,Holidays)))</f>
        <v/>
      </c>
      <c r="DC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2" s="100" t="b">
        <f aca="false">AND(Tasks[[#This Row],[_IsLeaf]]=1,Tasks[[#This Row],[_LeafProgress]]&lt;1,N(Tasks[[#This Row],[_LeafTotalSlack]])&lt;=CriticalSlackDays)</f>
        <v>0</v>
      </c>
      <c r="DE112" s="41" t="n">
        <f aca="false">IF(AND(Tasks[[#This Row],[_IsLeaf]]=1,Tasks[[#This Row],[_ConstraintCode]]=1,Tasks[[#This Row],[Mode]]&lt;&gt;"Manual",N(Tasks[[#This Row],[Actual Start]])=0),MAX(0,N(Tasks[[#This Row],[Free Slack]])),0)</f>
        <v>0</v>
      </c>
      <c r="DF112" s="101" t="str">
        <f aca="false">IF(NOT(Tasks[[#This Row],[_IsLeaf]]=1),"",IF(Tasks[[#This Row],[_AlapShift]]=0,Tasks[[#This Row],[_LeafCalcStart]],WORKDAY.INTL(Tasks[[#This Row],[_LeafCalcStart]],Tasks[[#This Row],[_AlapShift]],WorkWeek,Holidays)))</f>
        <v/>
      </c>
      <c r="DG112" s="101" t="str">
        <f aca="false">IF(NOT(Tasks[[#This Row],[_IsLeaf]]=1),"",IF(Tasks[[#This Row],[_AlapShift]]=0,Tasks[[#This Row],[_LeafCalcFinish]],WORKDAY.INTL(Tasks[[#This Row],[_LeafCalcFinish]],Tasks[[#This Row],[_AlapShift]],WorkWeek,Holidays)))</f>
        <v/>
      </c>
      <c r="DH112" s="101" t="str">
        <f aca="false">IF(NOT(Tasks[[#This Row],[_IsLeaf]]=1),"",IF(Tasks[[#This Row],[_AlapShift]]=0,Tasks[[#This Row],[_LeafFcstStart]],WORKDAY.INTL(Tasks[[#This Row],[_LeafFcstStart]],Tasks[[#This Row],[_AlapShift]],WorkWeek,Holidays)))</f>
        <v/>
      </c>
      <c r="DI112" s="101" t="str">
        <f aca="false">IF(NOT(Tasks[[#This Row],[_IsLeaf]]=1),"",IF(Tasks[[#This Row],[_AlapShift]]=0,Tasks[[#This Row],[_LeafFcstFinish]],WORKDAY.INTL(Tasks[[#This Row],[_LeafFcstFinish]],Tasks[[#This Row],[_AlapShift]],WorkWeek,Holidays)))</f>
        <v/>
      </c>
      <c r="DJ112" s="101" t="str">
        <f aca="false">IF(Tasks[[#This Row],[Task Name]]="","",IF(Tasks[[#This Row],[_IsSummary]],MIN(INDEX(Tasks[_ShownCalcStart],Tasks[[#This Row],[_Row]]+1):INDEX(Tasks[_ShownCalcStart],Tasks[[#This Row],[_Row]]+Tasks[[#This Row],[_Descendants]])),Tasks[[#This Row],[_ShownCalcStart]]))</f>
        <v/>
      </c>
      <c r="DK112" s="101" t="str">
        <f aca="false">IF(Tasks[[#This Row],[Task Name]]="","",IF(Tasks[[#This Row],[_IsSummary]],MAX(INDEX(Tasks[_ShownCalcFinish],Tasks[[#This Row],[_Row]]+1):INDEX(Tasks[_ShownCalcFinish],Tasks[[#This Row],[_Row]]+Tasks[[#This Row],[_Descendants]])),Tasks[[#This Row],[_ShownCalcFinish]]))</f>
        <v/>
      </c>
      <c r="D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2" s="41" t="n">
        <f aca="false">IF(AND(Tasks[[#This Row],[_IsLeaf]]=1,Tasks[[#This Row],[_LeafTotalWork]]&gt;0),NETWORKDAYS.INTL(ProjectStart,Tasks[[#This Row],[_ShownFcstStart]],WorkWeek,Holidays),0)</f>
        <v>0</v>
      </c>
      <c r="DY112" s="41" t="n">
        <f aca="false">IF(AND(Tasks[[#This Row],[_IsLeaf]]=1,Tasks[[#This Row],[_LeafTotalWork]]&gt;0),MAX(Tasks[[#This Row],[_StartWorkday]],NETWORKDAYS.INTL(ProjectStart,Tasks[[#This Row],[_ShownFcstFinish]],WorkWeek,Holidays)),0)</f>
        <v>0</v>
      </c>
      <c r="DZ112" s="41" t="n">
        <f aca="false">IF(AND(Tasks[[#This Row],[_IsLeaf]]=1,Tasks[[#This Row],[_LeafTotalWork]]&gt;0),Tasks[[#This Row],[_LeafWork]]/(Tasks[[#This Row],[_FinishWorkday]]-Tasks[[#This Row],[_StartWorkday]]+1),0)</f>
        <v>0</v>
      </c>
      <c r="EA112" s="41" t="n">
        <f aca="false">Tasks[[#This Row],[_WorkPerWorkday]]*(Tasks[[#This Row],[_StartWorkday]]-1)</f>
        <v>-0</v>
      </c>
      <c r="EB112" s="41" t="n">
        <f aca="false">IF(Tasks[[#This Row],[_IsLeaf]]=1,MAX(N(Tasks[[#This Row],[Duration]]),0.1),0)</f>
        <v>0</v>
      </c>
      <c r="EC112" s="41" t="n">
        <f aca="false">Tasks[[#This Row],[_WeightDur]]*Tasks[[#This Row],[_LeafProgress]]</f>
        <v>0</v>
      </c>
      <c r="ED1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2" s="41" t="str">
        <f aca="false">IF(AND(Tasks[[#This Row],[_IsLeaf]]=1,N(Tasks[[#This Row],[Duration]])=0,Tasks[[#This Row],[_LeafProgress]]&lt;1),Tasks[[#This Row],[_ShownFcstFinish]]+Tasks[[#This Row],[_Row]]/100000,"")</f>
        <v/>
      </c>
      <c r="EF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2" s="41" t="n">
        <f aca="false">IF(NOT(Tasks[[#This Row],[_IsLeaf]]=1),0,IF(Tasks[[#This Row],[Baseline Cost]]="",Tasks[[#This Row],[_LeafTotalCost]],N(Tasks[[#This Row],[Baseline Cost]])))</f>
        <v>0</v>
      </c>
      <c r="EH112" s="41" t="n">
        <f aca="false">Tasks[[#This Row],[_LeafBudget]]*Tasks[[#This Row],[_PlannedPct]]</f>
        <v>0</v>
      </c>
      <c r="EI112" s="41" t="n">
        <f aca="false">Tasks[[#This Row],[_LeafBudget]]*Tasks[[#This Row],[_LeafProgress]]</f>
        <v>0</v>
      </c>
      <c r="EJ112" s="41" t="n">
        <f aca="false">IF(NOT(Tasks[[#This Row],[_IsLeaf]]=1),0,IF(Tasks[[#This Row],[Actual Cost]]="",Tasks[[#This Row],[_LeafTotalCost]]*Tasks[[#This Row],[_LeafProgress]],N(Tasks[[#This Row],[Actual Cost]])))</f>
        <v>0</v>
      </c>
      <c r="EK112" s="41" t="str">
        <f aca="false">IF(Tasks[[#This Row],[Task Name]]="","",LEFT(Tasks[[#This Row],[WBS]],FIND(".",Tasks[[#This Row],[WBS]]&amp;".")-1))</f>
        <v/>
      </c>
      <c r="EL112" s="41" t="str">
        <f aca="false">IF(AND(Tasks[[#This Row],[Task Name]]&lt;&gt;"",Tasks[[#This Row],[_Level]]=1),Tasks[[#This Row],[_Row]],"")</f>
        <v/>
      </c>
      <c r="EM112" s="41" t="str">
        <f aca="false">IF(AND(Tasks[[#This Row],[_IsLeaf]]=1,N(Tasks[[#This Row],[Duration]])=0),Tasks[[#This Row],[Planned Finish]]+Tasks[[#This Row],[_Row]]/100000,"")</f>
        <v/>
      </c>
      <c r="EN112" s="41" t="str">
        <f aca="false">IF(AND(Tasks[[#This Row],[_IsLeaf]]=1,Tasks[[#This Row],[_LeafProgress]]&lt;1,OR(N(Tasks[[#This Row],[Finish Var]])&gt;0,Tasks[[#This Row],[Status]]="Late Start")),MAX(0,Tasks[[#This Row],[Finish Var]])+1-Tasks[[#This Row],[_Row]]/1000000,"")</f>
        <v/>
      </c>
      <c r="EO112" s="41" t="str">
        <f aca="false">IF(AND(Tasks[[#This Row],[_IsLeaf]]=1,N(Tasks[[#This Row],[Actual Start]])=0,Tasks[[#This Row],[_ShownFcstStart]]&gt;=StatusDate,Tasks[[#This Row],[_ShownFcstStart]]&lt;=LookaheadEnd),Tasks[[#This Row],[_ShownFcstStart]]+Tasks[[#This Row],[_Row]]/100000,"")</f>
        <v/>
      </c>
      <c r="EP112" s="41" t="str">
        <f aca="false">IF(AND(Tasks[[#This Row],[_IsLeaf]]=1,Tasks[[#This Row],[_LeafProgress]]&lt;1,Tasks[[#This Row],[_ShownFcstFinish]]&gt;=StatusDate,Tasks[[#This Row],[_ShownFcstFinish]]&lt;=LookaheadEnd),Tasks[[#This Row],[_ShownFcstFinish]]+Tasks[[#This Row],[_Row]]/100000,"")</f>
        <v/>
      </c>
      <c r="EQ112" s="41" t="str">
        <f aca="false">IF(Tasks[[#This Row],[_LeafCritical]],Tasks[[#This Row],[_ShownFcstStart]]+Tasks[[#This Row],[_Row]]/100000,"")</f>
        <v/>
      </c>
      <c r="ER112" s="41" t="n">
        <f aca="false">Tasks[[#This Row],[_LeafWork]]*Tasks[[#This Row],[_LeafProgress]]</f>
        <v>0</v>
      </c>
      <c r="ES112" s="101" t="str">
        <f aca="false">IF(AND(Tasks[[#This Row],[_IsLeaf]]=1,Tasks[[#This Row],[_LeafProgress]]&gt;=1),IF(N(Tasks[[#This Row],[Actual Finish]])&gt;0,Tasks[[#This Row],[Actual Finish]],Tasks[[#This Row],[_ShownFcstFinish]]),"")</f>
        <v/>
      </c>
      <c r="ET112" s="41" t="n">
        <f aca="false">IF(Tasks[[#This Row],[_IsLeaf]]=1,N(Tasks[[#This Row],[Story Points]]),0)</f>
        <v>0</v>
      </c>
      <c r="EU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29"/>
      <c r="O113" s="29"/>
      <c r="P113" s="29"/>
      <c r="Q113" s="29"/>
      <c r="R113" s="29"/>
      <c r="S113" s="29"/>
      <c r="T113" s="30"/>
      <c r="U113" s="75"/>
      <c r="V113" s="75"/>
      <c r="W113" s="25" t="str">
        <f aca="false">IF(Tasks[[#This Row],[Task Name]]="","",IF(N(Tasks[[#This Row],[Baseline Start]])&gt;0,Tasks[[#This Row],[Baseline Start]],Tasks[[#This Row],[_CalcStart]]))</f>
        <v/>
      </c>
      <c r="X113" s="25" t="str">
        <f aca="false">IF(Tasks[[#This Row],[Task Name]]="","",IF(N(Tasks[[#This Row],[Baseline Finish]])&gt;0,Tasks[[#This Row],[Baseline Finish]],Tasks[[#This Row],[_CalcFinish]]))</f>
        <v/>
      </c>
      <c r="Y113" s="75"/>
      <c r="Z113" s="75"/>
      <c r="AA113" s="25" t="str">
        <f aca="false">IF(Tasks[[#This Row],[Task Name]]="","",IF(Tasks[[#This Row],[_IsSummary]],MIN(INDEX(Tasks[_ShownFcstStart],Tasks[[#This Row],[_Row]]+1):INDEX(Tasks[_ShownFcstStart],Tasks[[#This Row],[_Row]]+Tasks[[#This Row],[_Descendants]])),Tasks[[#This Row],[_ShownFcstStart]]))</f>
        <v/>
      </c>
      <c r="AB113" s="25" t="str">
        <f aca="false">IF(Tasks[[#This Row],[Task Name]]="","",IF(Tasks[[#This Row],[_IsSummary]],MAX(INDEX(Tasks[_ShownFcstFinish],Tasks[[#This Row],[_Row]]+1):INDEX(Tasks[_ShownFcstFinish],Tasks[[#This Row],[_Row]]+Tasks[[#This Row],[_Descendants]])),Tasks[[#This Row],[_ShownFcstFinish]]))</f>
        <v/>
      </c>
      <c r="AC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3" s="25" t="str">
        <f aca="false">IF(Tasks[[#This Row],[Task Name]]="","",IF(Tasks[[#This Row],[_IsSummary]],MIN(INDEX(Tasks[_LeafLateStart],Tasks[[#This Row],[_Row]]+1):INDEX(Tasks[_LeafLateStart],Tasks[[#This Row],[_Row]]+Tasks[[#This Row],[_Descendants]])),Tasks[[#This Row],[_LeafLateStart]]))</f>
        <v/>
      </c>
      <c r="AF113" s="25" t="str">
        <f aca="false">IF(Tasks[[#This Row],[Task Name]]="","",IF(Tasks[[#This Row],[_IsSummary]],MAX(INDEX(Tasks[_LeafLateFinish],Tasks[[#This Row],[_Row]]+1):INDEX(Tasks[_LeafLateFinish],Tasks[[#This Row],[_Row]]+Tasks[[#This Row],[_Descendants]])),Tasks[[#This Row],[_LeafLateFinish]]))</f>
        <v/>
      </c>
      <c r="AG113" s="28" t="str">
        <f aca="false">IF(Tasks[[#This Row],[Task Name]]="","",IF(Tasks[[#This Row],[_IsSummary]],MIN(INDEX(Tasks[_LeafTotalSlack],Tasks[[#This Row],[_Row]]+1):INDEX(Tasks[_LeafTotalSlack],Tasks[[#This Row],[_Row]]+Tasks[[#This Row],[_Descendants]])),Tasks[[#This Row],[_LeafTotalSlack]]))</f>
        <v/>
      </c>
      <c r="AH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3" s="28" t="str">
        <f aca="false">IF(Tasks[[#This Row],[Task Name]]="","",IF(IF(Tasks[[#This Row],[_IsSummary]],COUNTIF(INDEX(Tasks[_LeafCritical],Tasks[[#This Row],[_Row]]+1):INDEX(Tasks[_LeafCritical],Tasks[[#This Row],[_Row]]+Tasks[[#This Row],[_Descendants]]),TRUE())&gt;0,Tasks[[#This Row],[_LeafCritical]]),"Yes",""))</f>
        <v/>
      </c>
      <c r="AJ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3" s="89"/>
      <c r="AM1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3" s="28" t="str">
        <f aca="false">IF(Tasks[[#This Row],[Task Name]]="","",IF(Tasks[[#This Row],[Progress]]&gt;=1,"Complete",IF(OR(N(Tasks[[#This Row],[Actual Start]])&gt;0,Tasks[[#This Row],[Progress]]&gt;0),IF(Tasks[[#This Row],[Finish Var]]&gt;0,"Behind","In Progress"),IF(Tasks[[#This Row],[Planned Start]]&lt;StatusDate,"Late Start","Not Started"))))</f>
        <v/>
      </c>
      <c r="AO113" s="30"/>
      <c r="AP113" s="89"/>
      <c r="AQ1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3" s="96" t="str">
        <f aca="false">IF(Tasks[[#This Row],[Task Name]]="","",IF(Tasks[[#This Row],[_IsSummary]],SUM(INDEX(Tasks[_LeafTotalWork],Tasks[[#This Row],[_Row]]+1):INDEX(Tasks[_LeafTotalWork],Tasks[[#This Row],[_Row]]+Tasks[[#This Row],[_Descendants]])),Tasks[[#This Row],[_LeafTotalWork]]))</f>
        <v/>
      </c>
      <c r="AT113" s="97" t="str">
        <f aca="false">IF(Tasks[[#This Row],[Task Name]]="","",IF(Tasks[[#This Row],[_IsSummary]],SUM(INDEX(Tasks[_LeafTotalCost],Tasks[[#This Row],[_Row]]+1):INDEX(Tasks[_LeafTotalCost],Tasks[[#This Row],[_Row]]+Tasks[[#This Row],[_Descendants]])),Tasks[[#This Row],[_LeafTotalCost]]))</f>
        <v/>
      </c>
      <c r="AU113" s="98"/>
      <c r="AV113" s="29"/>
      <c r="AW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3" s="83"/>
      <c r="AY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3" s="30"/>
      <c r="BA113" s="25" t="str">
        <f aca="false">IF(Tasks[[#This Row],[Task Name]]="","",Tasks[[#This Row],[Forecast Start]])</f>
        <v/>
      </c>
      <c r="BB113" s="25" t="str">
        <f aca="false">IF(Tasks[[#This Row],[Task Name]]="","",Tasks[[#This Row],[Forecast Finish]])</f>
        <v/>
      </c>
      <c r="BC113" s="28" t="str">
        <f aca="false">IF(Tasks[[#This Row],[Task Name]]="","",IF(Tasks[[#This Row],[_IsSummary]],NETWORKDAYS.INTL(Tasks[[#This Row],[Forecast Start]],Tasks[[#This Row],[Forecast Finish]],WorkWeek,Holidays),N(Tasks[[#This Row],[Duration]])))</f>
        <v/>
      </c>
      <c r="BD113" s="96" t="str">
        <f aca="false">IF(Tasks[[#This Row],[Task Name]]="","",Tasks[[#This Row],[Work]])</f>
        <v/>
      </c>
      <c r="BE113" s="97" t="str">
        <f aca="false">IF(Tasks[[#This Row],[Task Name]]="","",Tasks[[#This Row],[Cost]])</f>
        <v/>
      </c>
      <c r="BF113" s="75"/>
      <c r="BG113" s="75"/>
      <c r="BH113" s="29"/>
      <c r="BI113" s="99"/>
      <c r="BJ113" s="98"/>
      <c r="BK113" s="28" t="str">
        <f aca="false">IF(OR(Tasks[[#This Row],[Task Name]]="",Tasks[[#This Row],[Baseline Duration]]=""),"",Tasks[[#This Row],[BL Source Duration]]-N(Tasks[[#This Row],[Baseline Duration]]))</f>
        <v/>
      </c>
      <c r="BL113" s="96" t="str">
        <f aca="false">IF(OR(Tasks[[#This Row],[Task Name]]="",Tasks[[#This Row],[Baseline Work]]=""),"",Tasks[[#This Row],[Work]]-N(Tasks[[#This Row],[Baseline Work]]))</f>
        <v/>
      </c>
      <c r="BM113" s="97" t="str">
        <f aca="false">IF(OR(Tasks[[#This Row],[Task Name]]="",Tasks[[#This Row],[Baseline Cost]]=""),"",Tasks[[#This Row],[Cost]]-N(Tasks[[#This Row],[Baseline Cost]]))</f>
        <v/>
      </c>
      <c r="BN113" s="97" t="str">
        <f aca="false">IF(Tasks[[#This Row],[Task Name]]="","",IF(Tasks[[#This Row],[_IsSummary]],SUM(INDEX(Tasks[_LeafBudget],Tasks[[#This Row],[_Row]]+1):INDEX(Tasks[_LeafBudget],Tasks[[#This Row],[_Row]]+Tasks[[#This Row],[_Descendants]])),Tasks[[#This Row],[_LeafBudget]]))</f>
        <v/>
      </c>
      <c r="BO113" s="97" t="str">
        <f aca="false">IF(Tasks[[#This Row],[Task Name]]="","",IF(Tasks[[#This Row],[_IsSummary]],SUM(INDEX(Tasks[_LeafPV],Tasks[[#This Row],[_Row]]+1):INDEX(Tasks[_LeafPV],Tasks[[#This Row],[_Row]]+Tasks[[#This Row],[_Descendants]])),Tasks[[#This Row],[_LeafPV]]))</f>
        <v/>
      </c>
      <c r="BP113" s="97" t="str">
        <f aca="false">IF(Tasks[[#This Row],[Task Name]]="","",IF(Tasks[[#This Row],[_IsSummary]],SUM(INDEX(Tasks[_LeafEV],Tasks[[#This Row],[_Row]]+1):INDEX(Tasks[_LeafEV],Tasks[[#This Row],[_Row]]+Tasks[[#This Row],[_Descendants]])),Tasks[[#This Row],[_LeafEV]]))</f>
        <v/>
      </c>
      <c r="BQ113" s="97" t="str">
        <f aca="false">IF(Tasks[[#This Row],[Task Name]]="","",IF(Tasks[[#This Row],[_IsSummary]],SUM(INDEX(Tasks[_LeafAC],Tasks[[#This Row],[_Row]]+1):INDEX(Tasks[_LeafAC],Tasks[[#This Row],[_Row]]+Tasks[[#This Row],[_Descendants]])),Tasks[[#This Row],[_LeafAC]]))</f>
        <v/>
      </c>
      <c r="BR113" s="41" t="str">
        <f aca="false">IF(Tasks[[#This Row],[Task Name]]="","",MAX(1,N(Tasks[[#This Row],[Level]])))</f>
        <v/>
      </c>
      <c r="BS113" s="41" t="n">
        <f aca="false">ROW()-ROW(Tasks[[#Headers],[ID]])</f>
        <v>108</v>
      </c>
      <c r="BT113" s="41" t="n">
        <f aca="false">IF(OR(Tasks[[#This Row],[Task Name]]="",Tasks[[#This Row],[_Level]]&lt;=1),0,IFERROR(LOOKUP(2,1/(Tasks[[#Headers],[_Level]]:Tasks[[#This Row],[_Level]]=Tasks[[#This Row],[_Level]]-1),ROW(Tasks[[#Headers],[_Level]]:Tasks[[#This Row],[_Level]])),0))</f>
        <v>0</v>
      </c>
      <c r="BU113" s="41" t="n">
        <f aca="false">IFERROR(N(INDEX(Tasks[_Level],Tasks[[#This Row],[_Row]]+1)),0)</f>
        <v>0</v>
      </c>
      <c r="BV113" s="100" t="b">
        <f aca="false">AND(Tasks[[#This Row],[Task Name]]&lt;&gt;"",Tasks[[#This Row],[_NextLevel]]&gt;Tasks[[#This Row],[_Level]])</f>
        <v>0</v>
      </c>
      <c r="BW113" s="41" t="n">
        <f aca="false">IF(Tasks[[#This Row],[_IsSummary]],COUNTIF(Tasks[WBS],Tasks[[#This Row],[WBS]]&amp;".*"),0)</f>
        <v>0</v>
      </c>
      <c r="BX113" s="41" t="n">
        <f aca="false">IF(AND(Tasks[[#This Row],[Task Name]]&lt;&gt;"",NOT(Tasks[[#This Row],[_IsSummary]])),1,0)</f>
        <v>0</v>
      </c>
      <c r="BY113" s="41" t="n">
        <f aca="false">IF(N(Tasks[[#This Row],[Pred1 UID]])=0,0,IFERROR(MATCH(Tasks[[#This Row],[Pred1 UID]],Tasks[UID],0),-1))</f>
        <v>0</v>
      </c>
      <c r="BZ113" s="41" t="n">
        <f aca="false">IF(N(Tasks[[#This Row],[Pred2 UID]])=0,0,IFERROR(MATCH(Tasks[[#This Row],[Pred2 UID]],Tasks[UID],0),-1))</f>
        <v>0</v>
      </c>
      <c r="CA113" s="41" t="n">
        <f aca="false">IF(N(Tasks[[#This Row],[Pred3 UID]])=0,0,IFERROR(MATCH(Tasks[[#This Row],[Pred3 UID]],Tasks[UID],0),-1))</f>
        <v>0</v>
      </c>
      <c r="CB113" s="41" t="n">
        <f aca="false">IF(N(Tasks[[#This Row],[Pred4 UID]])=0,0,IFERROR(MATCH(Tasks[[#This Row],[Pred4 UID]],Tasks[UID],0),-1))</f>
        <v>0</v>
      </c>
      <c r="CC1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3" s="101" t="n">
        <f aca="false">IF(OR(Tasks[[#This Row],[_ConstraintCode]]=2,Tasks[[#This Row],[_ConstraintCode]]=3,Tasks[[#This Row],[_ConstraintCode]]=4,Tasks[[#This Row],[_ConstraintCode]]=6),Tasks[[#This Row],[_ConstraintStart]],0)</f>
        <v>0</v>
      </c>
      <c r="CF113" s="101" t="n">
        <f aca="false">IF(OR(Tasks[[#This Row],[_ConstraintCode]]=2,Tasks[[#This Row],[_ConstraintCode]]=3,Tasks[[#This Row],[_ConstraintCode]]=5,Tasks[[#This Row],[_ConstraintCode]]=7),Tasks[[#This Row],[_ConstraintStart]],2958465)</f>
        <v>2958465</v>
      </c>
      <c r="CG11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3" s="101" t="str">
        <f aca="false">IF(NOT(Tasks[[#This Row],[_IsLeaf]]=1),"",IF(N(Tasks[[#This Row],[Duration]])&lt;=0,Tasks[[#This Row],[_LeafCalcStart]],WORKDAY.INTL(Tasks[[#This Row],[_LeafCalcStart]],Tasks[[#This Row],[Duration]]-1,WorkWeek,Holidays)))</f>
        <v/>
      </c>
      <c r="CI11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3" s="41" t="n">
        <f aca="false">IF(NOT(Tasks[[#This Row],[_IsLeaf]]=1),0,IF(N(Tasks[[#This Row],[Actual Finish]])&gt;0,1,MIN(1,N(Tasks[[#This Row],[% Complete]]))))</f>
        <v>0</v>
      </c>
      <c r="CL113" s="41" t="n">
        <f aca="false">IF(OR(NOT(Tasks[[#This Row],[_IsLeaf]]=1),Tasks[[#This Row],[Resource]]=""),0,N(Tasks[[#This Row],[Duration]])*HoursPerDay*IF(Tasks[[#This Row],[Units]]="",DefaultUnits,Tasks[[#This Row],[Units]]))</f>
        <v>0</v>
      </c>
      <c r="CM113" s="41" t="n">
        <f aca="false">IF(Tasks[[#This Row],[_LeafWork]]=0,0,Tasks[[#This Row],[_LeafWork]]*IFERROR(INDEX(res_Rate,MATCH(Tasks[[#This Row],[Resource]],res_Name,0)),0))</f>
        <v>0</v>
      </c>
      <c r="CN113" s="41" t="n">
        <f aca="false">Tasks[[#This Row],[_LeafWork]]+IF(Tasks[[#This Row],[_IsLeaf]]=1,SUMIFS(asg_Work,asg_TaskUID,Tasks[[#This Row],[UID]],asg_Valid,1),0)</f>
        <v>0</v>
      </c>
      <c r="CO113" s="41" t="n">
        <f aca="false">Tasks[[#This Row],[_LeafCost]]+IF(Tasks[[#This Row],[_IsLeaf]]=1,SUMIFS(asg_Cost,asg_TaskUID,Tasks[[#This Row],[UID]],asg_Valid,1),0)</f>
        <v>0</v>
      </c>
      <c r="CP113" s="41" t="n">
        <f aca="false">IF(Tasks[[#This Row],[_LeafTotalCost]]=0,Tasks[[#This Row],[_LeafAC]],Tasks[[#This Row],[_LeafAC]]*Tasks[[#This Row],[_LeafCost]]/Tasks[[#This Row],[_LeafTotalCost]])</f>
        <v>0</v>
      </c>
      <c r="CQ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3" s="41" t="n">
        <f aca="false">IF(NOT(Tasks[[#This Row],[_IsLeaf]]=1),0,MAX(_xlfn.MAXIFS(Tasks[_Row],Tasks[Pred1 UID],Tasks[[#This Row],[UID]]),_xlfn.MAXIFS(Tasks[_Row],Tasks[Pred2 UID],Tasks[[#This Row],[UID]]),_xlfn.MAXIFS(Tasks[_Row],Tasks[Pred3 UID],Tasks[[#This Row],[UID]]),_xlfn.MAXIFS(Tasks[_Row],Tasks[Pred4 UID],Tasks[[#This Row],[UID]])))</f>
        <v>0</v>
      </c>
      <c r="CZ1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3" s="101" t="str">
        <f aca="false">IF(NOT(Tasks[[#This Row],[_IsLeaf]]=1),"",IF(N(Tasks[[#This Row],[Duration]])&lt;=0,Tasks[[#This Row],[_LeafLateFinish]],WORKDAY.INTL(Tasks[[#This Row],[_LeafLateFinish]],-(Tasks[[#This Row],[Duration]]-1),WorkWeek,Holidays)))</f>
        <v/>
      </c>
      <c r="DC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3" s="100" t="b">
        <f aca="false">AND(Tasks[[#This Row],[_IsLeaf]]=1,Tasks[[#This Row],[_LeafProgress]]&lt;1,N(Tasks[[#This Row],[_LeafTotalSlack]])&lt;=CriticalSlackDays)</f>
        <v>0</v>
      </c>
      <c r="DE113" s="41" t="n">
        <f aca="false">IF(AND(Tasks[[#This Row],[_IsLeaf]]=1,Tasks[[#This Row],[_ConstraintCode]]=1,Tasks[[#This Row],[Mode]]&lt;&gt;"Manual",N(Tasks[[#This Row],[Actual Start]])=0),MAX(0,N(Tasks[[#This Row],[Free Slack]])),0)</f>
        <v>0</v>
      </c>
      <c r="DF113" s="101" t="str">
        <f aca="false">IF(NOT(Tasks[[#This Row],[_IsLeaf]]=1),"",IF(Tasks[[#This Row],[_AlapShift]]=0,Tasks[[#This Row],[_LeafCalcStart]],WORKDAY.INTL(Tasks[[#This Row],[_LeafCalcStart]],Tasks[[#This Row],[_AlapShift]],WorkWeek,Holidays)))</f>
        <v/>
      </c>
      <c r="DG113" s="101" t="str">
        <f aca="false">IF(NOT(Tasks[[#This Row],[_IsLeaf]]=1),"",IF(Tasks[[#This Row],[_AlapShift]]=0,Tasks[[#This Row],[_LeafCalcFinish]],WORKDAY.INTL(Tasks[[#This Row],[_LeafCalcFinish]],Tasks[[#This Row],[_AlapShift]],WorkWeek,Holidays)))</f>
        <v/>
      </c>
      <c r="DH113" s="101" t="str">
        <f aca="false">IF(NOT(Tasks[[#This Row],[_IsLeaf]]=1),"",IF(Tasks[[#This Row],[_AlapShift]]=0,Tasks[[#This Row],[_LeafFcstStart]],WORKDAY.INTL(Tasks[[#This Row],[_LeafFcstStart]],Tasks[[#This Row],[_AlapShift]],WorkWeek,Holidays)))</f>
        <v/>
      </c>
      <c r="DI113" s="101" t="str">
        <f aca="false">IF(NOT(Tasks[[#This Row],[_IsLeaf]]=1),"",IF(Tasks[[#This Row],[_AlapShift]]=0,Tasks[[#This Row],[_LeafFcstFinish]],WORKDAY.INTL(Tasks[[#This Row],[_LeafFcstFinish]],Tasks[[#This Row],[_AlapShift]],WorkWeek,Holidays)))</f>
        <v/>
      </c>
      <c r="DJ113" s="101" t="str">
        <f aca="false">IF(Tasks[[#This Row],[Task Name]]="","",IF(Tasks[[#This Row],[_IsSummary]],MIN(INDEX(Tasks[_ShownCalcStart],Tasks[[#This Row],[_Row]]+1):INDEX(Tasks[_ShownCalcStart],Tasks[[#This Row],[_Row]]+Tasks[[#This Row],[_Descendants]])),Tasks[[#This Row],[_ShownCalcStart]]))</f>
        <v/>
      </c>
      <c r="DK113" s="101" t="str">
        <f aca="false">IF(Tasks[[#This Row],[Task Name]]="","",IF(Tasks[[#This Row],[_IsSummary]],MAX(INDEX(Tasks[_ShownCalcFinish],Tasks[[#This Row],[_Row]]+1):INDEX(Tasks[_ShownCalcFinish],Tasks[[#This Row],[_Row]]+Tasks[[#This Row],[_Descendants]])),Tasks[[#This Row],[_ShownCalcFinish]]))</f>
        <v/>
      </c>
      <c r="D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3" s="41" t="n">
        <f aca="false">IF(AND(Tasks[[#This Row],[_IsLeaf]]=1,Tasks[[#This Row],[_LeafTotalWork]]&gt;0),NETWORKDAYS.INTL(ProjectStart,Tasks[[#This Row],[_ShownFcstStart]],WorkWeek,Holidays),0)</f>
        <v>0</v>
      </c>
      <c r="DY113" s="41" t="n">
        <f aca="false">IF(AND(Tasks[[#This Row],[_IsLeaf]]=1,Tasks[[#This Row],[_LeafTotalWork]]&gt;0),MAX(Tasks[[#This Row],[_StartWorkday]],NETWORKDAYS.INTL(ProjectStart,Tasks[[#This Row],[_ShownFcstFinish]],WorkWeek,Holidays)),0)</f>
        <v>0</v>
      </c>
      <c r="DZ113" s="41" t="n">
        <f aca="false">IF(AND(Tasks[[#This Row],[_IsLeaf]]=1,Tasks[[#This Row],[_LeafTotalWork]]&gt;0),Tasks[[#This Row],[_LeafWork]]/(Tasks[[#This Row],[_FinishWorkday]]-Tasks[[#This Row],[_StartWorkday]]+1),0)</f>
        <v>0</v>
      </c>
      <c r="EA113" s="41" t="n">
        <f aca="false">Tasks[[#This Row],[_WorkPerWorkday]]*(Tasks[[#This Row],[_StartWorkday]]-1)</f>
        <v>-0</v>
      </c>
      <c r="EB113" s="41" t="n">
        <f aca="false">IF(Tasks[[#This Row],[_IsLeaf]]=1,MAX(N(Tasks[[#This Row],[Duration]]),0.1),0)</f>
        <v>0</v>
      </c>
      <c r="EC113" s="41" t="n">
        <f aca="false">Tasks[[#This Row],[_WeightDur]]*Tasks[[#This Row],[_LeafProgress]]</f>
        <v>0</v>
      </c>
      <c r="ED1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3" s="41" t="str">
        <f aca="false">IF(AND(Tasks[[#This Row],[_IsLeaf]]=1,N(Tasks[[#This Row],[Duration]])=0,Tasks[[#This Row],[_LeafProgress]]&lt;1),Tasks[[#This Row],[_ShownFcstFinish]]+Tasks[[#This Row],[_Row]]/100000,"")</f>
        <v/>
      </c>
      <c r="EF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3" s="41" t="n">
        <f aca="false">IF(NOT(Tasks[[#This Row],[_IsLeaf]]=1),0,IF(Tasks[[#This Row],[Baseline Cost]]="",Tasks[[#This Row],[_LeafTotalCost]],N(Tasks[[#This Row],[Baseline Cost]])))</f>
        <v>0</v>
      </c>
      <c r="EH113" s="41" t="n">
        <f aca="false">Tasks[[#This Row],[_LeafBudget]]*Tasks[[#This Row],[_PlannedPct]]</f>
        <v>0</v>
      </c>
      <c r="EI113" s="41" t="n">
        <f aca="false">Tasks[[#This Row],[_LeafBudget]]*Tasks[[#This Row],[_LeafProgress]]</f>
        <v>0</v>
      </c>
      <c r="EJ113" s="41" t="n">
        <f aca="false">IF(NOT(Tasks[[#This Row],[_IsLeaf]]=1),0,IF(Tasks[[#This Row],[Actual Cost]]="",Tasks[[#This Row],[_LeafTotalCost]]*Tasks[[#This Row],[_LeafProgress]],N(Tasks[[#This Row],[Actual Cost]])))</f>
        <v>0</v>
      </c>
      <c r="EK113" s="41" t="str">
        <f aca="false">IF(Tasks[[#This Row],[Task Name]]="","",LEFT(Tasks[[#This Row],[WBS]],FIND(".",Tasks[[#This Row],[WBS]]&amp;".")-1))</f>
        <v/>
      </c>
      <c r="EL113" s="41" t="str">
        <f aca="false">IF(AND(Tasks[[#This Row],[Task Name]]&lt;&gt;"",Tasks[[#This Row],[_Level]]=1),Tasks[[#This Row],[_Row]],"")</f>
        <v/>
      </c>
      <c r="EM113" s="41" t="str">
        <f aca="false">IF(AND(Tasks[[#This Row],[_IsLeaf]]=1,N(Tasks[[#This Row],[Duration]])=0),Tasks[[#This Row],[Planned Finish]]+Tasks[[#This Row],[_Row]]/100000,"")</f>
        <v/>
      </c>
      <c r="EN113" s="41" t="str">
        <f aca="false">IF(AND(Tasks[[#This Row],[_IsLeaf]]=1,Tasks[[#This Row],[_LeafProgress]]&lt;1,OR(N(Tasks[[#This Row],[Finish Var]])&gt;0,Tasks[[#This Row],[Status]]="Late Start")),MAX(0,Tasks[[#This Row],[Finish Var]])+1-Tasks[[#This Row],[_Row]]/1000000,"")</f>
        <v/>
      </c>
      <c r="EO113" s="41" t="str">
        <f aca="false">IF(AND(Tasks[[#This Row],[_IsLeaf]]=1,N(Tasks[[#This Row],[Actual Start]])=0,Tasks[[#This Row],[_ShownFcstStart]]&gt;=StatusDate,Tasks[[#This Row],[_ShownFcstStart]]&lt;=LookaheadEnd),Tasks[[#This Row],[_ShownFcstStart]]+Tasks[[#This Row],[_Row]]/100000,"")</f>
        <v/>
      </c>
      <c r="EP113" s="41" t="str">
        <f aca="false">IF(AND(Tasks[[#This Row],[_IsLeaf]]=1,Tasks[[#This Row],[_LeafProgress]]&lt;1,Tasks[[#This Row],[_ShownFcstFinish]]&gt;=StatusDate,Tasks[[#This Row],[_ShownFcstFinish]]&lt;=LookaheadEnd),Tasks[[#This Row],[_ShownFcstFinish]]+Tasks[[#This Row],[_Row]]/100000,"")</f>
        <v/>
      </c>
      <c r="EQ113" s="41" t="str">
        <f aca="false">IF(Tasks[[#This Row],[_LeafCritical]],Tasks[[#This Row],[_ShownFcstStart]]+Tasks[[#This Row],[_Row]]/100000,"")</f>
        <v/>
      </c>
      <c r="ER113" s="41" t="n">
        <f aca="false">Tasks[[#This Row],[_LeafWork]]*Tasks[[#This Row],[_LeafProgress]]</f>
        <v>0</v>
      </c>
      <c r="ES113" s="101" t="str">
        <f aca="false">IF(AND(Tasks[[#This Row],[_IsLeaf]]=1,Tasks[[#This Row],[_LeafProgress]]&gt;=1),IF(N(Tasks[[#This Row],[Actual Finish]])&gt;0,Tasks[[#This Row],[Actual Finish]],Tasks[[#This Row],[_ShownFcstFinish]]),"")</f>
        <v/>
      </c>
      <c r="ET113" s="41" t="n">
        <f aca="false">IF(Tasks[[#This Row],[_IsLeaf]]=1,N(Tasks[[#This Row],[Story Points]]),0)</f>
        <v>0</v>
      </c>
      <c r="EU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29"/>
      <c r="O114" s="29"/>
      <c r="P114" s="29"/>
      <c r="Q114" s="29"/>
      <c r="R114" s="29"/>
      <c r="S114" s="29"/>
      <c r="T114" s="30"/>
      <c r="U114" s="75"/>
      <c r="V114" s="75"/>
      <c r="W114" s="25" t="str">
        <f aca="false">IF(Tasks[[#This Row],[Task Name]]="","",IF(N(Tasks[[#This Row],[Baseline Start]])&gt;0,Tasks[[#This Row],[Baseline Start]],Tasks[[#This Row],[_CalcStart]]))</f>
        <v/>
      </c>
      <c r="X114" s="25" t="str">
        <f aca="false">IF(Tasks[[#This Row],[Task Name]]="","",IF(N(Tasks[[#This Row],[Baseline Finish]])&gt;0,Tasks[[#This Row],[Baseline Finish]],Tasks[[#This Row],[_CalcFinish]]))</f>
        <v/>
      </c>
      <c r="Y114" s="75"/>
      <c r="Z114" s="75"/>
      <c r="AA114" s="25" t="str">
        <f aca="false">IF(Tasks[[#This Row],[Task Name]]="","",IF(Tasks[[#This Row],[_IsSummary]],MIN(INDEX(Tasks[_ShownFcstStart],Tasks[[#This Row],[_Row]]+1):INDEX(Tasks[_ShownFcstStart],Tasks[[#This Row],[_Row]]+Tasks[[#This Row],[_Descendants]])),Tasks[[#This Row],[_ShownFcstStart]]))</f>
        <v/>
      </c>
      <c r="AB114" s="25" t="str">
        <f aca="false">IF(Tasks[[#This Row],[Task Name]]="","",IF(Tasks[[#This Row],[_IsSummary]],MAX(INDEX(Tasks[_ShownFcstFinish],Tasks[[#This Row],[_Row]]+1):INDEX(Tasks[_ShownFcstFinish],Tasks[[#This Row],[_Row]]+Tasks[[#This Row],[_Descendants]])),Tasks[[#This Row],[_ShownFcstFinish]]))</f>
        <v/>
      </c>
      <c r="AC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4" s="25" t="str">
        <f aca="false">IF(Tasks[[#This Row],[Task Name]]="","",IF(Tasks[[#This Row],[_IsSummary]],MIN(INDEX(Tasks[_LeafLateStart],Tasks[[#This Row],[_Row]]+1):INDEX(Tasks[_LeafLateStart],Tasks[[#This Row],[_Row]]+Tasks[[#This Row],[_Descendants]])),Tasks[[#This Row],[_LeafLateStart]]))</f>
        <v/>
      </c>
      <c r="AF114" s="25" t="str">
        <f aca="false">IF(Tasks[[#This Row],[Task Name]]="","",IF(Tasks[[#This Row],[_IsSummary]],MAX(INDEX(Tasks[_LeafLateFinish],Tasks[[#This Row],[_Row]]+1):INDEX(Tasks[_LeafLateFinish],Tasks[[#This Row],[_Row]]+Tasks[[#This Row],[_Descendants]])),Tasks[[#This Row],[_LeafLateFinish]]))</f>
        <v/>
      </c>
      <c r="AG114" s="28" t="str">
        <f aca="false">IF(Tasks[[#This Row],[Task Name]]="","",IF(Tasks[[#This Row],[_IsSummary]],MIN(INDEX(Tasks[_LeafTotalSlack],Tasks[[#This Row],[_Row]]+1):INDEX(Tasks[_LeafTotalSlack],Tasks[[#This Row],[_Row]]+Tasks[[#This Row],[_Descendants]])),Tasks[[#This Row],[_LeafTotalSlack]]))</f>
        <v/>
      </c>
      <c r="AH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4" s="28" t="str">
        <f aca="false">IF(Tasks[[#This Row],[Task Name]]="","",IF(IF(Tasks[[#This Row],[_IsSummary]],COUNTIF(INDEX(Tasks[_LeafCritical],Tasks[[#This Row],[_Row]]+1):INDEX(Tasks[_LeafCritical],Tasks[[#This Row],[_Row]]+Tasks[[#This Row],[_Descendants]]),TRUE())&gt;0,Tasks[[#This Row],[_LeafCritical]]),"Yes",""))</f>
        <v/>
      </c>
      <c r="AJ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4" s="89"/>
      <c r="AM1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4" s="28" t="str">
        <f aca="false">IF(Tasks[[#This Row],[Task Name]]="","",IF(Tasks[[#This Row],[Progress]]&gt;=1,"Complete",IF(OR(N(Tasks[[#This Row],[Actual Start]])&gt;0,Tasks[[#This Row],[Progress]]&gt;0),IF(Tasks[[#This Row],[Finish Var]]&gt;0,"Behind","In Progress"),IF(Tasks[[#This Row],[Planned Start]]&lt;StatusDate,"Late Start","Not Started"))))</f>
        <v/>
      </c>
      <c r="AO114" s="30"/>
      <c r="AP114" s="89"/>
      <c r="AQ1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4" s="96" t="str">
        <f aca="false">IF(Tasks[[#This Row],[Task Name]]="","",IF(Tasks[[#This Row],[_IsSummary]],SUM(INDEX(Tasks[_LeafTotalWork],Tasks[[#This Row],[_Row]]+1):INDEX(Tasks[_LeafTotalWork],Tasks[[#This Row],[_Row]]+Tasks[[#This Row],[_Descendants]])),Tasks[[#This Row],[_LeafTotalWork]]))</f>
        <v/>
      </c>
      <c r="AT114" s="97" t="str">
        <f aca="false">IF(Tasks[[#This Row],[Task Name]]="","",IF(Tasks[[#This Row],[_IsSummary]],SUM(INDEX(Tasks[_LeafTotalCost],Tasks[[#This Row],[_Row]]+1):INDEX(Tasks[_LeafTotalCost],Tasks[[#This Row],[_Row]]+Tasks[[#This Row],[_Descendants]])),Tasks[[#This Row],[_LeafTotalCost]]))</f>
        <v/>
      </c>
      <c r="AU114" s="98"/>
      <c r="AV114" s="29"/>
      <c r="AW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4" s="83"/>
      <c r="AY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4" s="30"/>
      <c r="BA114" s="25" t="str">
        <f aca="false">IF(Tasks[[#This Row],[Task Name]]="","",Tasks[[#This Row],[Forecast Start]])</f>
        <v/>
      </c>
      <c r="BB114" s="25" t="str">
        <f aca="false">IF(Tasks[[#This Row],[Task Name]]="","",Tasks[[#This Row],[Forecast Finish]])</f>
        <v/>
      </c>
      <c r="BC114" s="28" t="str">
        <f aca="false">IF(Tasks[[#This Row],[Task Name]]="","",IF(Tasks[[#This Row],[_IsSummary]],NETWORKDAYS.INTL(Tasks[[#This Row],[Forecast Start]],Tasks[[#This Row],[Forecast Finish]],WorkWeek,Holidays),N(Tasks[[#This Row],[Duration]])))</f>
        <v/>
      </c>
      <c r="BD114" s="96" t="str">
        <f aca="false">IF(Tasks[[#This Row],[Task Name]]="","",Tasks[[#This Row],[Work]])</f>
        <v/>
      </c>
      <c r="BE114" s="97" t="str">
        <f aca="false">IF(Tasks[[#This Row],[Task Name]]="","",Tasks[[#This Row],[Cost]])</f>
        <v/>
      </c>
      <c r="BF114" s="75"/>
      <c r="BG114" s="75"/>
      <c r="BH114" s="29"/>
      <c r="BI114" s="99"/>
      <c r="BJ114" s="98"/>
      <c r="BK114" s="28" t="str">
        <f aca="false">IF(OR(Tasks[[#This Row],[Task Name]]="",Tasks[[#This Row],[Baseline Duration]]=""),"",Tasks[[#This Row],[BL Source Duration]]-N(Tasks[[#This Row],[Baseline Duration]]))</f>
        <v/>
      </c>
      <c r="BL114" s="96" t="str">
        <f aca="false">IF(OR(Tasks[[#This Row],[Task Name]]="",Tasks[[#This Row],[Baseline Work]]=""),"",Tasks[[#This Row],[Work]]-N(Tasks[[#This Row],[Baseline Work]]))</f>
        <v/>
      </c>
      <c r="BM114" s="97" t="str">
        <f aca="false">IF(OR(Tasks[[#This Row],[Task Name]]="",Tasks[[#This Row],[Baseline Cost]]=""),"",Tasks[[#This Row],[Cost]]-N(Tasks[[#This Row],[Baseline Cost]]))</f>
        <v/>
      </c>
      <c r="BN114" s="97" t="str">
        <f aca="false">IF(Tasks[[#This Row],[Task Name]]="","",IF(Tasks[[#This Row],[_IsSummary]],SUM(INDEX(Tasks[_LeafBudget],Tasks[[#This Row],[_Row]]+1):INDEX(Tasks[_LeafBudget],Tasks[[#This Row],[_Row]]+Tasks[[#This Row],[_Descendants]])),Tasks[[#This Row],[_LeafBudget]]))</f>
        <v/>
      </c>
      <c r="BO114" s="97" t="str">
        <f aca="false">IF(Tasks[[#This Row],[Task Name]]="","",IF(Tasks[[#This Row],[_IsSummary]],SUM(INDEX(Tasks[_LeafPV],Tasks[[#This Row],[_Row]]+1):INDEX(Tasks[_LeafPV],Tasks[[#This Row],[_Row]]+Tasks[[#This Row],[_Descendants]])),Tasks[[#This Row],[_LeafPV]]))</f>
        <v/>
      </c>
      <c r="BP114" s="97" t="str">
        <f aca="false">IF(Tasks[[#This Row],[Task Name]]="","",IF(Tasks[[#This Row],[_IsSummary]],SUM(INDEX(Tasks[_LeafEV],Tasks[[#This Row],[_Row]]+1):INDEX(Tasks[_LeafEV],Tasks[[#This Row],[_Row]]+Tasks[[#This Row],[_Descendants]])),Tasks[[#This Row],[_LeafEV]]))</f>
        <v/>
      </c>
      <c r="BQ114" s="97" t="str">
        <f aca="false">IF(Tasks[[#This Row],[Task Name]]="","",IF(Tasks[[#This Row],[_IsSummary]],SUM(INDEX(Tasks[_LeafAC],Tasks[[#This Row],[_Row]]+1):INDEX(Tasks[_LeafAC],Tasks[[#This Row],[_Row]]+Tasks[[#This Row],[_Descendants]])),Tasks[[#This Row],[_LeafAC]]))</f>
        <v/>
      </c>
      <c r="BR114" s="41" t="str">
        <f aca="false">IF(Tasks[[#This Row],[Task Name]]="","",MAX(1,N(Tasks[[#This Row],[Level]])))</f>
        <v/>
      </c>
      <c r="BS114" s="41" t="n">
        <f aca="false">ROW()-ROW(Tasks[[#Headers],[ID]])</f>
        <v>109</v>
      </c>
      <c r="BT114" s="41" t="n">
        <f aca="false">IF(OR(Tasks[[#This Row],[Task Name]]="",Tasks[[#This Row],[_Level]]&lt;=1),0,IFERROR(LOOKUP(2,1/(Tasks[[#Headers],[_Level]]:Tasks[[#This Row],[_Level]]=Tasks[[#This Row],[_Level]]-1),ROW(Tasks[[#Headers],[_Level]]:Tasks[[#This Row],[_Level]])),0))</f>
        <v>0</v>
      </c>
      <c r="BU114" s="41" t="n">
        <f aca="false">IFERROR(N(INDEX(Tasks[_Level],Tasks[[#This Row],[_Row]]+1)),0)</f>
        <v>0</v>
      </c>
      <c r="BV114" s="100" t="b">
        <f aca="false">AND(Tasks[[#This Row],[Task Name]]&lt;&gt;"",Tasks[[#This Row],[_NextLevel]]&gt;Tasks[[#This Row],[_Level]])</f>
        <v>0</v>
      </c>
      <c r="BW114" s="41" t="n">
        <f aca="false">IF(Tasks[[#This Row],[_IsSummary]],COUNTIF(Tasks[WBS],Tasks[[#This Row],[WBS]]&amp;".*"),0)</f>
        <v>0</v>
      </c>
      <c r="BX114" s="41" t="n">
        <f aca="false">IF(AND(Tasks[[#This Row],[Task Name]]&lt;&gt;"",NOT(Tasks[[#This Row],[_IsSummary]])),1,0)</f>
        <v>0</v>
      </c>
      <c r="BY114" s="41" t="n">
        <f aca="false">IF(N(Tasks[[#This Row],[Pred1 UID]])=0,0,IFERROR(MATCH(Tasks[[#This Row],[Pred1 UID]],Tasks[UID],0),-1))</f>
        <v>0</v>
      </c>
      <c r="BZ114" s="41" t="n">
        <f aca="false">IF(N(Tasks[[#This Row],[Pred2 UID]])=0,0,IFERROR(MATCH(Tasks[[#This Row],[Pred2 UID]],Tasks[UID],0),-1))</f>
        <v>0</v>
      </c>
      <c r="CA114" s="41" t="n">
        <f aca="false">IF(N(Tasks[[#This Row],[Pred3 UID]])=0,0,IFERROR(MATCH(Tasks[[#This Row],[Pred3 UID]],Tasks[UID],0),-1))</f>
        <v>0</v>
      </c>
      <c r="CB114" s="41" t="n">
        <f aca="false">IF(N(Tasks[[#This Row],[Pred4 UID]])=0,0,IFERROR(MATCH(Tasks[[#This Row],[Pred4 UID]],Tasks[UID],0),-1))</f>
        <v>0</v>
      </c>
      <c r="CC1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4" s="101" t="n">
        <f aca="false">IF(OR(Tasks[[#This Row],[_ConstraintCode]]=2,Tasks[[#This Row],[_ConstraintCode]]=3,Tasks[[#This Row],[_ConstraintCode]]=4,Tasks[[#This Row],[_ConstraintCode]]=6),Tasks[[#This Row],[_ConstraintStart]],0)</f>
        <v>0</v>
      </c>
      <c r="CF114" s="101" t="n">
        <f aca="false">IF(OR(Tasks[[#This Row],[_ConstraintCode]]=2,Tasks[[#This Row],[_ConstraintCode]]=3,Tasks[[#This Row],[_ConstraintCode]]=5,Tasks[[#This Row],[_ConstraintCode]]=7),Tasks[[#This Row],[_ConstraintStart]],2958465)</f>
        <v>2958465</v>
      </c>
      <c r="CG11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4" s="101" t="str">
        <f aca="false">IF(NOT(Tasks[[#This Row],[_IsLeaf]]=1),"",IF(N(Tasks[[#This Row],[Duration]])&lt;=0,Tasks[[#This Row],[_LeafCalcStart]],WORKDAY.INTL(Tasks[[#This Row],[_LeafCalcStart]],Tasks[[#This Row],[Duration]]-1,WorkWeek,Holidays)))</f>
        <v/>
      </c>
      <c r="CI11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4" s="41" t="n">
        <f aca="false">IF(NOT(Tasks[[#This Row],[_IsLeaf]]=1),0,IF(N(Tasks[[#This Row],[Actual Finish]])&gt;0,1,MIN(1,N(Tasks[[#This Row],[% Complete]]))))</f>
        <v>0</v>
      </c>
      <c r="CL114" s="41" t="n">
        <f aca="false">IF(OR(NOT(Tasks[[#This Row],[_IsLeaf]]=1),Tasks[[#This Row],[Resource]]=""),0,N(Tasks[[#This Row],[Duration]])*HoursPerDay*IF(Tasks[[#This Row],[Units]]="",DefaultUnits,Tasks[[#This Row],[Units]]))</f>
        <v>0</v>
      </c>
      <c r="CM114" s="41" t="n">
        <f aca="false">IF(Tasks[[#This Row],[_LeafWork]]=0,0,Tasks[[#This Row],[_LeafWork]]*IFERROR(INDEX(res_Rate,MATCH(Tasks[[#This Row],[Resource]],res_Name,0)),0))</f>
        <v>0</v>
      </c>
      <c r="CN114" s="41" t="n">
        <f aca="false">Tasks[[#This Row],[_LeafWork]]+IF(Tasks[[#This Row],[_IsLeaf]]=1,SUMIFS(asg_Work,asg_TaskUID,Tasks[[#This Row],[UID]],asg_Valid,1),0)</f>
        <v>0</v>
      </c>
      <c r="CO114" s="41" t="n">
        <f aca="false">Tasks[[#This Row],[_LeafCost]]+IF(Tasks[[#This Row],[_IsLeaf]]=1,SUMIFS(asg_Cost,asg_TaskUID,Tasks[[#This Row],[UID]],asg_Valid,1),0)</f>
        <v>0</v>
      </c>
      <c r="CP114" s="41" t="n">
        <f aca="false">IF(Tasks[[#This Row],[_LeafTotalCost]]=0,Tasks[[#This Row],[_LeafAC]],Tasks[[#This Row],[_LeafAC]]*Tasks[[#This Row],[_LeafCost]]/Tasks[[#This Row],[_LeafTotalCost]])</f>
        <v>0</v>
      </c>
      <c r="CQ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4" s="41" t="n">
        <f aca="false">IF(NOT(Tasks[[#This Row],[_IsLeaf]]=1),0,MAX(_xlfn.MAXIFS(Tasks[_Row],Tasks[Pred1 UID],Tasks[[#This Row],[UID]]),_xlfn.MAXIFS(Tasks[_Row],Tasks[Pred2 UID],Tasks[[#This Row],[UID]]),_xlfn.MAXIFS(Tasks[_Row],Tasks[Pred3 UID],Tasks[[#This Row],[UID]]),_xlfn.MAXIFS(Tasks[_Row],Tasks[Pred4 UID],Tasks[[#This Row],[UID]])))</f>
        <v>0</v>
      </c>
      <c r="CZ1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4" s="101" t="str">
        <f aca="false">IF(NOT(Tasks[[#This Row],[_IsLeaf]]=1),"",IF(N(Tasks[[#This Row],[Duration]])&lt;=0,Tasks[[#This Row],[_LeafLateFinish]],WORKDAY.INTL(Tasks[[#This Row],[_LeafLateFinish]],-(Tasks[[#This Row],[Duration]]-1),WorkWeek,Holidays)))</f>
        <v/>
      </c>
      <c r="DC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4" s="100" t="b">
        <f aca="false">AND(Tasks[[#This Row],[_IsLeaf]]=1,Tasks[[#This Row],[_LeafProgress]]&lt;1,N(Tasks[[#This Row],[_LeafTotalSlack]])&lt;=CriticalSlackDays)</f>
        <v>0</v>
      </c>
      <c r="DE114" s="41" t="n">
        <f aca="false">IF(AND(Tasks[[#This Row],[_IsLeaf]]=1,Tasks[[#This Row],[_ConstraintCode]]=1,Tasks[[#This Row],[Mode]]&lt;&gt;"Manual",N(Tasks[[#This Row],[Actual Start]])=0),MAX(0,N(Tasks[[#This Row],[Free Slack]])),0)</f>
        <v>0</v>
      </c>
      <c r="DF114" s="101" t="str">
        <f aca="false">IF(NOT(Tasks[[#This Row],[_IsLeaf]]=1),"",IF(Tasks[[#This Row],[_AlapShift]]=0,Tasks[[#This Row],[_LeafCalcStart]],WORKDAY.INTL(Tasks[[#This Row],[_LeafCalcStart]],Tasks[[#This Row],[_AlapShift]],WorkWeek,Holidays)))</f>
        <v/>
      </c>
      <c r="DG114" s="101" t="str">
        <f aca="false">IF(NOT(Tasks[[#This Row],[_IsLeaf]]=1),"",IF(Tasks[[#This Row],[_AlapShift]]=0,Tasks[[#This Row],[_LeafCalcFinish]],WORKDAY.INTL(Tasks[[#This Row],[_LeafCalcFinish]],Tasks[[#This Row],[_AlapShift]],WorkWeek,Holidays)))</f>
        <v/>
      </c>
      <c r="DH114" s="101" t="str">
        <f aca="false">IF(NOT(Tasks[[#This Row],[_IsLeaf]]=1),"",IF(Tasks[[#This Row],[_AlapShift]]=0,Tasks[[#This Row],[_LeafFcstStart]],WORKDAY.INTL(Tasks[[#This Row],[_LeafFcstStart]],Tasks[[#This Row],[_AlapShift]],WorkWeek,Holidays)))</f>
        <v/>
      </c>
      <c r="DI114" s="101" t="str">
        <f aca="false">IF(NOT(Tasks[[#This Row],[_IsLeaf]]=1),"",IF(Tasks[[#This Row],[_AlapShift]]=0,Tasks[[#This Row],[_LeafFcstFinish]],WORKDAY.INTL(Tasks[[#This Row],[_LeafFcstFinish]],Tasks[[#This Row],[_AlapShift]],WorkWeek,Holidays)))</f>
        <v/>
      </c>
      <c r="DJ114" s="101" t="str">
        <f aca="false">IF(Tasks[[#This Row],[Task Name]]="","",IF(Tasks[[#This Row],[_IsSummary]],MIN(INDEX(Tasks[_ShownCalcStart],Tasks[[#This Row],[_Row]]+1):INDEX(Tasks[_ShownCalcStart],Tasks[[#This Row],[_Row]]+Tasks[[#This Row],[_Descendants]])),Tasks[[#This Row],[_ShownCalcStart]]))</f>
        <v/>
      </c>
      <c r="DK114" s="101" t="str">
        <f aca="false">IF(Tasks[[#This Row],[Task Name]]="","",IF(Tasks[[#This Row],[_IsSummary]],MAX(INDEX(Tasks[_ShownCalcFinish],Tasks[[#This Row],[_Row]]+1):INDEX(Tasks[_ShownCalcFinish],Tasks[[#This Row],[_Row]]+Tasks[[#This Row],[_Descendants]])),Tasks[[#This Row],[_ShownCalcFinish]]))</f>
        <v/>
      </c>
      <c r="D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4" s="41" t="n">
        <f aca="false">IF(AND(Tasks[[#This Row],[_IsLeaf]]=1,Tasks[[#This Row],[_LeafTotalWork]]&gt;0),NETWORKDAYS.INTL(ProjectStart,Tasks[[#This Row],[_ShownFcstStart]],WorkWeek,Holidays),0)</f>
        <v>0</v>
      </c>
      <c r="DY114" s="41" t="n">
        <f aca="false">IF(AND(Tasks[[#This Row],[_IsLeaf]]=1,Tasks[[#This Row],[_LeafTotalWork]]&gt;0),MAX(Tasks[[#This Row],[_StartWorkday]],NETWORKDAYS.INTL(ProjectStart,Tasks[[#This Row],[_ShownFcstFinish]],WorkWeek,Holidays)),0)</f>
        <v>0</v>
      </c>
      <c r="DZ114" s="41" t="n">
        <f aca="false">IF(AND(Tasks[[#This Row],[_IsLeaf]]=1,Tasks[[#This Row],[_LeafTotalWork]]&gt;0),Tasks[[#This Row],[_LeafWork]]/(Tasks[[#This Row],[_FinishWorkday]]-Tasks[[#This Row],[_StartWorkday]]+1),0)</f>
        <v>0</v>
      </c>
      <c r="EA114" s="41" t="n">
        <f aca="false">Tasks[[#This Row],[_WorkPerWorkday]]*(Tasks[[#This Row],[_StartWorkday]]-1)</f>
        <v>-0</v>
      </c>
      <c r="EB114" s="41" t="n">
        <f aca="false">IF(Tasks[[#This Row],[_IsLeaf]]=1,MAX(N(Tasks[[#This Row],[Duration]]),0.1),0)</f>
        <v>0</v>
      </c>
      <c r="EC114" s="41" t="n">
        <f aca="false">Tasks[[#This Row],[_WeightDur]]*Tasks[[#This Row],[_LeafProgress]]</f>
        <v>0</v>
      </c>
      <c r="ED1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4" s="41" t="str">
        <f aca="false">IF(AND(Tasks[[#This Row],[_IsLeaf]]=1,N(Tasks[[#This Row],[Duration]])=0,Tasks[[#This Row],[_LeafProgress]]&lt;1),Tasks[[#This Row],[_ShownFcstFinish]]+Tasks[[#This Row],[_Row]]/100000,"")</f>
        <v/>
      </c>
      <c r="EF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4" s="41" t="n">
        <f aca="false">IF(NOT(Tasks[[#This Row],[_IsLeaf]]=1),0,IF(Tasks[[#This Row],[Baseline Cost]]="",Tasks[[#This Row],[_LeafTotalCost]],N(Tasks[[#This Row],[Baseline Cost]])))</f>
        <v>0</v>
      </c>
      <c r="EH114" s="41" t="n">
        <f aca="false">Tasks[[#This Row],[_LeafBudget]]*Tasks[[#This Row],[_PlannedPct]]</f>
        <v>0</v>
      </c>
      <c r="EI114" s="41" t="n">
        <f aca="false">Tasks[[#This Row],[_LeafBudget]]*Tasks[[#This Row],[_LeafProgress]]</f>
        <v>0</v>
      </c>
      <c r="EJ114" s="41" t="n">
        <f aca="false">IF(NOT(Tasks[[#This Row],[_IsLeaf]]=1),0,IF(Tasks[[#This Row],[Actual Cost]]="",Tasks[[#This Row],[_LeafTotalCost]]*Tasks[[#This Row],[_LeafProgress]],N(Tasks[[#This Row],[Actual Cost]])))</f>
        <v>0</v>
      </c>
      <c r="EK114" s="41" t="str">
        <f aca="false">IF(Tasks[[#This Row],[Task Name]]="","",LEFT(Tasks[[#This Row],[WBS]],FIND(".",Tasks[[#This Row],[WBS]]&amp;".")-1))</f>
        <v/>
      </c>
      <c r="EL114" s="41" t="str">
        <f aca="false">IF(AND(Tasks[[#This Row],[Task Name]]&lt;&gt;"",Tasks[[#This Row],[_Level]]=1),Tasks[[#This Row],[_Row]],"")</f>
        <v/>
      </c>
      <c r="EM114" s="41" t="str">
        <f aca="false">IF(AND(Tasks[[#This Row],[_IsLeaf]]=1,N(Tasks[[#This Row],[Duration]])=0),Tasks[[#This Row],[Planned Finish]]+Tasks[[#This Row],[_Row]]/100000,"")</f>
        <v/>
      </c>
      <c r="EN114" s="41" t="str">
        <f aca="false">IF(AND(Tasks[[#This Row],[_IsLeaf]]=1,Tasks[[#This Row],[_LeafProgress]]&lt;1,OR(N(Tasks[[#This Row],[Finish Var]])&gt;0,Tasks[[#This Row],[Status]]="Late Start")),MAX(0,Tasks[[#This Row],[Finish Var]])+1-Tasks[[#This Row],[_Row]]/1000000,"")</f>
        <v/>
      </c>
      <c r="EO114" s="41" t="str">
        <f aca="false">IF(AND(Tasks[[#This Row],[_IsLeaf]]=1,N(Tasks[[#This Row],[Actual Start]])=0,Tasks[[#This Row],[_ShownFcstStart]]&gt;=StatusDate,Tasks[[#This Row],[_ShownFcstStart]]&lt;=LookaheadEnd),Tasks[[#This Row],[_ShownFcstStart]]+Tasks[[#This Row],[_Row]]/100000,"")</f>
        <v/>
      </c>
      <c r="EP114" s="41" t="str">
        <f aca="false">IF(AND(Tasks[[#This Row],[_IsLeaf]]=1,Tasks[[#This Row],[_LeafProgress]]&lt;1,Tasks[[#This Row],[_ShownFcstFinish]]&gt;=StatusDate,Tasks[[#This Row],[_ShownFcstFinish]]&lt;=LookaheadEnd),Tasks[[#This Row],[_ShownFcstFinish]]+Tasks[[#This Row],[_Row]]/100000,"")</f>
        <v/>
      </c>
      <c r="EQ114" s="41" t="str">
        <f aca="false">IF(Tasks[[#This Row],[_LeafCritical]],Tasks[[#This Row],[_ShownFcstStart]]+Tasks[[#This Row],[_Row]]/100000,"")</f>
        <v/>
      </c>
      <c r="ER114" s="41" t="n">
        <f aca="false">Tasks[[#This Row],[_LeafWork]]*Tasks[[#This Row],[_LeafProgress]]</f>
        <v>0</v>
      </c>
      <c r="ES114" s="101" t="str">
        <f aca="false">IF(AND(Tasks[[#This Row],[_IsLeaf]]=1,Tasks[[#This Row],[_LeafProgress]]&gt;=1),IF(N(Tasks[[#This Row],[Actual Finish]])&gt;0,Tasks[[#This Row],[Actual Finish]],Tasks[[#This Row],[_ShownFcstFinish]]),"")</f>
        <v/>
      </c>
      <c r="ET114" s="41" t="n">
        <f aca="false">IF(Tasks[[#This Row],[_IsLeaf]]=1,N(Tasks[[#This Row],[Story Points]]),0)</f>
        <v>0</v>
      </c>
      <c r="EU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29"/>
      <c r="O115" s="29"/>
      <c r="P115" s="29"/>
      <c r="Q115" s="29"/>
      <c r="R115" s="29"/>
      <c r="S115" s="29"/>
      <c r="T115" s="30"/>
      <c r="U115" s="75"/>
      <c r="V115" s="75"/>
      <c r="W115" s="25" t="str">
        <f aca="false">IF(Tasks[[#This Row],[Task Name]]="","",IF(N(Tasks[[#This Row],[Baseline Start]])&gt;0,Tasks[[#This Row],[Baseline Start]],Tasks[[#This Row],[_CalcStart]]))</f>
        <v/>
      </c>
      <c r="X115" s="25" t="str">
        <f aca="false">IF(Tasks[[#This Row],[Task Name]]="","",IF(N(Tasks[[#This Row],[Baseline Finish]])&gt;0,Tasks[[#This Row],[Baseline Finish]],Tasks[[#This Row],[_CalcFinish]]))</f>
        <v/>
      </c>
      <c r="Y115" s="75"/>
      <c r="Z115" s="75"/>
      <c r="AA115" s="25" t="str">
        <f aca="false">IF(Tasks[[#This Row],[Task Name]]="","",IF(Tasks[[#This Row],[_IsSummary]],MIN(INDEX(Tasks[_ShownFcstStart],Tasks[[#This Row],[_Row]]+1):INDEX(Tasks[_ShownFcstStart],Tasks[[#This Row],[_Row]]+Tasks[[#This Row],[_Descendants]])),Tasks[[#This Row],[_ShownFcstStart]]))</f>
        <v/>
      </c>
      <c r="AB115" s="25" t="str">
        <f aca="false">IF(Tasks[[#This Row],[Task Name]]="","",IF(Tasks[[#This Row],[_IsSummary]],MAX(INDEX(Tasks[_ShownFcstFinish],Tasks[[#This Row],[_Row]]+1):INDEX(Tasks[_ShownFcstFinish],Tasks[[#This Row],[_Row]]+Tasks[[#This Row],[_Descendants]])),Tasks[[#This Row],[_ShownFcstFinish]]))</f>
        <v/>
      </c>
      <c r="AC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5" s="25" t="str">
        <f aca="false">IF(Tasks[[#This Row],[Task Name]]="","",IF(Tasks[[#This Row],[_IsSummary]],MIN(INDEX(Tasks[_LeafLateStart],Tasks[[#This Row],[_Row]]+1):INDEX(Tasks[_LeafLateStart],Tasks[[#This Row],[_Row]]+Tasks[[#This Row],[_Descendants]])),Tasks[[#This Row],[_LeafLateStart]]))</f>
        <v/>
      </c>
      <c r="AF115" s="25" t="str">
        <f aca="false">IF(Tasks[[#This Row],[Task Name]]="","",IF(Tasks[[#This Row],[_IsSummary]],MAX(INDEX(Tasks[_LeafLateFinish],Tasks[[#This Row],[_Row]]+1):INDEX(Tasks[_LeafLateFinish],Tasks[[#This Row],[_Row]]+Tasks[[#This Row],[_Descendants]])),Tasks[[#This Row],[_LeafLateFinish]]))</f>
        <v/>
      </c>
      <c r="AG115" s="28" t="str">
        <f aca="false">IF(Tasks[[#This Row],[Task Name]]="","",IF(Tasks[[#This Row],[_IsSummary]],MIN(INDEX(Tasks[_LeafTotalSlack],Tasks[[#This Row],[_Row]]+1):INDEX(Tasks[_LeafTotalSlack],Tasks[[#This Row],[_Row]]+Tasks[[#This Row],[_Descendants]])),Tasks[[#This Row],[_LeafTotalSlack]]))</f>
        <v/>
      </c>
      <c r="AH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5" s="28" t="str">
        <f aca="false">IF(Tasks[[#This Row],[Task Name]]="","",IF(IF(Tasks[[#This Row],[_IsSummary]],COUNTIF(INDEX(Tasks[_LeafCritical],Tasks[[#This Row],[_Row]]+1):INDEX(Tasks[_LeafCritical],Tasks[[#This Row],[_Row]]+Tasks[[#This Row],[_Descendants]]),TRUE())&gt;0,Tasks[[#This Row],[_LeafCritical]]),"Yes",""))</f>
        <v/>
      </c>
      <c r="AJ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5" s="89"/>
      <c r="AM1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5" s="28" t="str">
        <f aca="false">IF(Tasks[[#This Row],[Task Name]]="","",IF(Tasks[[#This Row],[Progress]]&gt;=1,"Complete",IF(OR(N(Tasks[[#This Row],[Actual Start]])&gt;0,Tasks[[#This Row],[Progress]]&gt;0),IF(Tasks[[#This Row],[Finish Var]]&gt;0,"Behind","In Progress"),IF(Tasks[[#This Row],[Planned Start]]&lt;StatusDate,"Late Start","Not Started"))))</f>
        <v/>
      </c>
      <c r="AO115" s="30"/>
      <c r="AP115" s="89"/>
      <c r="AQ1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5" s="96" t="str">
        <f aca="false">IF(Tasks[[#This Row],[Task Name]]="","",IF(Tasks[[#This Row],[_IsSummary]],SUM(INDEX(Tasks[_LeafTotalWork],Tasks[[#This Row],[_Row]]+1):INDEX(Tasks[_LeafTotalWork],Tasks[[#This Row],[_Row]]+Tasks[[#This Row],[_Descendants]])),Tasks[[#This Row],[_LeafTotalWork]]))</f>
        <v/>
      </c>
      <c r="AT115" s="97" t="str">
        <f aca="false">IF(Tasks[[#This Row],[Task Name]]="","",IF(Tasks[[#This Row],[_IsSummary]],SUM(INDEX(Tasks[_LeafTotalCost],Tasks[[#This Row],[_Row]]+1):INDEX(Tasks[_LeafTotalCost],Tasks[[#This Row],[_Row]]+Tasks[[#This Row],[_Descendants]])),Tasks[[#This Row],[_LeafTotalCost]]))</f>
        <v/>
      </c>
      <c r="AU115" s="98"/>
      <c r="AV115" s="29"/>
      <c r="AW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5" s="83"/>
      <c r="AY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5" s="30"/>
      <c r="BA115" s="25" t="str">
        <f aca="false">IF(Tasks[[#This Row],[Task Name]]="","",Tasks[[#This Row],[Forecast Start]])</f>
        <v/>
      </c>
      <c r="BB115" s="25" t="str">
        <f aca="false">IF(Tasks[[#This Row],[Task Name]]="","",Tasks[[#This Row],[Forecast Finish]])</f>
        <v/>
      </c>
      <c r="BC115" s="28" t="str">
        <f aca="false">IF(Tasks[[#This Row],[Task Name]]="","",IF(Tasks[[#This Row],[_IsSummary]],NETWORKDAYS.INTL(Tasks[[#This Row],[Forecast Start]],Tasks[[#This Row],[Forecast Finish]],WorkWeek,Holidays),N(Tasks[[#This Row],[Duration]])))</f>
        <v/>
      </c>
      <c r="BD115" s="96" t="str">
        <f aca="false">IF(Tasks[[#This Row],[Task Name]]="","",Tasks[[#This Row],[Work]])</f>
        <v/>
      </c>
      <c r="BE115" s="97" t="str">
        <f aca="false">IF(Tasks[[#This Row],[Task Name]]="","",Tasks[[#This Row],[Cost]])</f>
        <v/>
      </c>
      <c r="BF115" s="75"/>
      <c r="BG115" s="75"/>
      <c r="BH115" s="29"/>
      <c r="BI115" s="99"/>
      <c r="BJ115" s="98"/>
      <c r="BK115" s="28" t="str">
        <f aca="false">IF(OR(Tasks[[#This Row],[Task Name]]="",Tasks[[#This Row],[Baseline Duration]]=""),"",Tasks[[#This Row],[BL Source Duration]]-N(Tasks[[#This Row],[Baseline Duration]]))</f>
        <v/>
      </c>
      <c r="BL115" s="96" t="str">
        <f aca="false">IF(OR(Tasks[[#This Row],[Task Name]]="",Tasks[[#This Row],[Baseline Work]]=""),"",Tasks[[#This Row],[Work]]-N(Tasks[[#This Row],[Baseline Work]]))</f>
        <v/>
      </c>
      <c r="BM115" s="97" t="str">
        <f aca="false">IF(OR(Tasks[[#This Row],[Task Name]]="",Tasks[[#This Row],[Baseline Cost]]=""),"",Tasks[[#This Row],[Cost]]-N(Tasks[[#This Row],[Baseline Cost]]))</f>
        <v/>
      </c>
      <c r="BN115" s="97" t="str">
        <f aca="false">IF(Tasks[[#This Row],[Task Name]]="","",IF(Tasks[[#This Row],[_IsSummary]],SUM(INDEX(Tasks[_LeafBudget],Tasks[[#This Row],[_Row]]+1):INDEX(Tasks[_LeafBudget],Tasks[[#This Row],[_Row]]+Tasks[[#This Row],[_Descendants]])),Tasks[[#This Row],[_LeafBudget]]))</f>
        <v/>
      </c>
      <c r="BO115" s="97" t="str">
        <f aca="false">IF(Tasks[[#This Row],[Task Name]]="","",IF(Tasks[[#This Row],[_IsSummary]],SUM(INDEX(Tasks[_LeafPV],Tasks[[#This Row],[_Row]]+1):INDEX(Tasks[_LeafPV],Tasks[[#This Row],[_Row]]+Tasks[[#This Row],[_Descendants]])),Tasks[[#This Row],[_LeafPV]]))</f>
        <v/>
      </c>
      <c r="BP115" s="97" t="str">
        <f aca="false">IF(Tasks[[#This Row],[Task Name]]="","",IF(Tasks[[#This Row],[_IsSummary]],SUM(INDEX(Tasks[_LeafEV],Tasks[[#This Row],[_Row]]+1):INDEX(Tasks[_LeafEV],Tasks[[#This Row],[_Row]]+Tasks[[#This Row],[_Descendants]])),Tasks[[#This Row],[_LeafEV]]))</f>
        <v/>
      </c>
      <c r="BQ115" s="97" t="str">
        <f aca="false">IF(Tasks[[#This Row],[Task Name]]="","",IF(Tasks[[#This Row],[_IsSummary]],SUM(INDEX(Tasks[_LeafAC],Tasks[[#This Row],[_Row]]+1):INDEX(Tasks[_LeafAC],Tasks[[#This Row],[_Row]]+Tasks[[#This Row],[_Descendants]])),Tasks[[#This Row],[_LeafAC]]))</f>
        <v/>
      </c>
      <c r="BR115" s="41" t="str">
        <f aca="false">IF(Tasks[[#This Row],[Task Name]]="","",MAX(1,N(Tasks[[#This Row],[Level]])))</f>
        <v/>
      </c>
      <c r="BS115" s="41" t="n">
        <f aca="false">ROW()-ROW(Tasks[[#Headers],[ID]])</f>
        <v>110</v>
      </c>
      <c r="BT115" s="41" t="n">
        <f aca="false">IF(OR(Tasks[[#This Row],[Task Name]]="",Tasks[[#This Row],[_Level]]&lt;=1),0,IFERROR(LOOKUP(2,1/(Tasks[[#Headers],[_Level]]:Tasks[[#This Row],[_Level]]=Tasks[[#This Row],[_Level]]-1),ROW(Tasks[[#Headers],[_Level]]:Tasks[[#This Row],[_Level]])),0))</f>
        <v>0</v>
      </c>
      <c r="BU115" s="41" t="n">
        <f aca="false">IFERROR(N(INDEX(Tasks[_Level],Tasks[[#This Row],[_Row]]+1)),0)</f>
        <v>0</v>
      </c>
      <c r="BV115" s="100" t="b">
        <f aca="false">AND(Tasks[[#This Row],[Task Name]]&lt;&gt;"",Tasks[[#This Row],[_NextLevel]]&gt;Tasks[[#This Row],[_Level]])</f>
        <v>0</v>
      </c>
      <c r="BW115" s="41" t="n">
        <f aca="false">IF(Tasks[[#This Row],[_IsSummary]],COUNTIF(Tasks[WBS],Tasks[[#This Row],[WBS]]&amp;".*"),0)</f>
        <v>0</v>
      </c>
      <c r="BX115" s="41" t="n">
        <f aca="false">IF(AND(Tasks[[#This Row],[Task Name]]&lt;&gt;"",NOT(Tasks[[#This Row],[_IsSummary]])),1,0)</f>
        <v>0</v>
      </c>
      <c r="BY115" s="41" t="n">
        <f aca="false">IF(N(Tasks[[#This Row],[Pred1 UID]])=0,0,IFERROR(MATCH(Tasks[[#This Row],[Pred1 UID]],Tasks[UID],0),-1))</f>
        <v>0</v>
      </c>
      <c r="BZ115" s="41" t="n">
        <f aca="false">IF(N(Tasks[[#This Row],[Pred2 UID]])=0,0,IFERROR(MATCH(Tasks[[#This Row],[Pred2 UID]],Tasks[UID],0),-1))</f>
        <v>0</v>
      </c>
      <c r="CA115" s="41" t="n">
        <f aca="false">IF(N(Tasks[[#This Row],[Pred3 UID]])=0,0,IFERROR(MATCH(Tasks[[#This Row],[Pred3 UID]],Tasks[UID],0),-1))</f>
        <v>0</v>
      </c>
      <c r="CB115" s="41" t="n">
        <f aca="false">IF(N(Tasks[[#This Row],[Pred4 UID]])=0,0,IFERROR(MATCH(Tasks[[#This Row],[Pred4 UID]],Tasks[UID],0),-1))</f>
        <v>0</v>
      </c>
      <c r="CC1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5" s="101" t="n">
        <f aca="false">IF(OR(Tasks[[#This Row],[_ConstraintCode]]=2,Tasks[[#This Row],[_ConstraintCode]]=3,Tasks[[#This Row],[_ConstraintCode]]=4,Tasks[[#This Row],[_ConstraintCode]]=6),Tasks[[#This Row],[_ConstraintStart]],0)</f>
        <v>0</v>
      </c>
      <c r="CF115" s="101" t="n">
        <f aca="false">IF(OR(Tasks[[#This Row],[_ConstraintCode]]=2,Tasks[[#This Row],[_ConstraintCode]]=3,Tasks[[#This Row],[_ConstraintCode]]=5,Tasks[[#This Row],[_ConstraintCode]]=7),Tasks[[#This Row],[_ConstraintStart]],2958465)</f>
        <v>2958465</v>
      </c>
      <c r="CG11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5" s="101" t="str">
        <f aca="false">IF(NOT(Tasks[[#This Row],[_IsLeaf]]=1),"",IF(N(Tasks[[#This Row],[Duration]])&lt;=0,Tasks[[#This Row],[_LeafCalcStart]],WORKDAY.INTL(Tasks[[#This Row],[_LeafCalcStart]],Tasks[[#This Row],[Duration]]-1,WorkWeek,Holidays)))</f>
        <v/>
      </c>
      <c r="CI11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5" s="41" t="n">
        <f aca="false">IF(NOT(Tasks[[#This Row],[_IsLeaf]]=1),0,IF(N(Tasks[[#This Row],[Actual Finish]])&gt;0,1,MIN(1,N(Tasks[[#This Row],[% Complete]]))))</f>
        <v>0</v>
      </c>
      <c r="CL115" s="41" t="n">
        <f aca="false">IF(OR(NOT(Tasks[[#This Row],[_IsLeaf]]=1),Tasks[[#This Row],[Resource]]=""),0,N(Tasks[[#This Row],[Duration]])*HoursPerDay*IF(Tasks[[#This Row],[Units]]="",DefaultUnits,Tasks[[#This Row],[Units]]))</f>
        <v>0</v>
      </c>
      <c r="CM115" s="41" t="n">
        <f aca="false">IF(Tasks[[#This Row],[_LeafWork]]=0,0,Tasks[[#This Row],[_LeafWork]]*IFERROR(INDEX(res_Rate,MATCH(Tasks[[#This Row],[Resource]],res_Name,0)),0))</f>
        <v>0</v>
      </c>
      <c r="CN115" s="41" t="n">
        <f aca="false">Tasks[[#This Row],[_LeafWork]]+IF(Tasks[[#This Row],[_IsLeaf]]=1,SUMIFS(asg_Work,asg_TaskUID,Tasks[[#This Row],[UID]],asg_Valid,1),0)</f>
        <v>0</v>
      </c>
      <c r="CO115" s="41" t="n">
        <f aca="false">Tasks[[#This Row],[_LeafCost]]+IF(Tasks[[#This Row],[_IsLeaf]]=1,SUMIFS(asg_Cost,asg_TaskUID,Tasks[[#This Row],[UID]],asg_Valid,1),0)</f>
        <v>0</v>
      </c>
      <c r="CP115" s="41" t="n">
        <f aca="false">IF(Tasks[[#This Row],[_LeafTotalCost]]=0,Tasks[[#This Row],[_LeafAC]],Tasks[[#This Row],[_LeafAC]]*Tasks[[#This Row],[_LeafCost]]/Tasks[[#This Row],[_LeafTotalCost]])</f>
        <v>0</v>
      </c>
      <c r="CQ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5" s="41" t="n">
        <f aca="false">IF(NOT(Tasks[[#This Row],[_IsLeaf]]=1),0,MAX(_xlfn.MAXIFS(Tasks[_Row],Tasks[Pred1 UID],Tasks[[#This Row],[UID]]),_xlfn.MAXIFS(Tasks[_Row],Tasks[Pred2 UID],Tasks[[#This Row],[UID]]),_xlfn.MAXIFS(Tasks[_Row],Tasks[Pred3 UID],Tasks[[#This Row],[UID]]),_xlfn.MAXIFS(Tasks[_Row],Tasks[Pred4 UID],Tasks[[#This Row],[UID]])))</f>
        <v>0</v>
      </c>
      <c r="CZ1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5" s="101" t="str">
        <f aca="false">IF(NOT(Tasks[[#This Row],[_IsLeaf]]=1),"",IF(N(Tasks[[#This Row],[Duration]])&lt;=0,Tasks[[#This Row],[_LeafLateFinish]],WORKDAY.INTL(Tasks[[#This Row],[_LeafLateFinish]],-(Tasks[[#This Row],[Duration]]-1),WorkWeek,Holidays)))</f>
        <v/>
      </c>
      <c r="DC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5" s="100" t="b">
        <f aca="false">AND(Tasks[[#This Row],[_IsLeaf]]=1,Tasks[[#This Row],[_LeafProgress]]&lt;1,N(Tasks[[#This Row],[_LeafTotalSlack]])&lt;=CriticalSlackDays)</f>
        <v>0</v>
      </c>
      <c r="DE115" s="41" t="n">
        <f aca="false">IF(AND(Tasks[[#This Row],[_IsLeaf]]=1,Tasks[[#This Row],[_ConstraintCode]]=1,Tasks[[#This Row],[Mode]]&lt;&gt;"Manual",N(Tasks[[#This Row],[Actual Start]])=0),MAX(0,N(Tasks[[#This Row],[Free Slack]])),0)</f>
        <v>0</v>
      </c>
      <c r="DF115" s="101" t="str">
        <f aca="false">IF(NOT(Tasks[[#This Row],[_IsLeaf]]=1),"",IF(Tasks[[#This Row],[_AlapShift]]=0,Tasks[[#This Row],[_LeafCalcStart]],WORKDAY.INTL(Tasks[[#This Row],[_LeafCalcStart]],Tasks[[#This Row],[_AlapShift]],WorkWeek,Holidays)))</f>
        <v/>
      </c>
      <c r="DG115" s="101" t="str">
        <f aca="false">IF(NOT(Tasks[[#This Row],[_IsLeaf]]=1),"",IF(Tasks[[#This Row],[_AlapShift]]=0,Tasks[[#This Row],[_LeafCalcFinish]],WORKDAY.INTL(Tasks[[#This Row],[_LeafCalcFinish]],Tasks[[#This Row],[_AlapShift]],WorkWeek,Holidays)))</f>
        <v/>
      </c>
      <c r="DH115" s="101" t="str">
        <f aca="false">IF(NOT(Tasks[[#This Row],[_IsLeaf]]=1),"",IF(Tasks[[#This Row],[_AlapShift]]=0,Tasks[[#This Row],[_LeafFcstStart]],WORKDAY.INTL(Tasks[[#This Row],[_LeafFcstStart]],Tasks[[#This Row],[_AlapShift]],WorkWeek,Holidays)))</f>
        <v/>
      </c>
      <c r="DI115" s="101" t="str">
        <f aca="false">IF(NOT(Tasks[[#This Row],[_IsLeaf]]=1),"",IF(Tasks[[#This Row],[_AlapShift]]=0,Tasks[[#This Row],[_LeafFcstFinish]],WORKDAY.INTL(Tasks[[#This Row],[_LeafFcstFinish]],Tasks[[#This Row],[_AlapShift]],WorkWeek,Holidays)))</f>
        <v/>
      </c>
      <c r="DJ115" s="101" t="str">
        <f aca="false">IF(Tasks[[#This Row],[Task Name]]="","",IF(Tasks[[#This Row],[_IsSummary]],MIN(INDEX(Tasks[_ShownCalcStart],Tasks[[#This Row],[_Row]]+1):INDEX(Tasks[_ShownCalcStart],Tasks[[#This Row],[_Row]]+Tasks[[#This Row],[_Descendants]])),Tasks[[#This Row],[_ShownCalcStart]]))</f>
        <v/>
      </c>
      <c r="DK115" s="101" t="str">
        <f aca="false">IF(Tasks[[#This Row],[Task Name]]="","",IF(Tasks[[#This Row],[_IsSummary]],MAX(INDEX(Tasks[_ShownCalcFinish],Tasks[[#This Row],[_Row]]+1):INDEX(Tasks[_ShownCalcFinish],Tasks[[#This Row],[_Row]]+Tasks[[#This Row],[_Descendants]])),Tasks[[#This Row],[_ShownCalcFinish]]))</f>
        <v/>
      </c>
      <c r="D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5" s="41" t="n">
        <f aca="false">IF(AND(Tasks[[#This Row],[_IsLeaf]]=1,Tasks[[#This Row],[_LeafTotalWork]]&gt;0),NETWORKDAYS.INTL(ProjectStart,Tasks[[#This Row],[_ShownFcstStart]],WorkWeek,Holidays),0)</f>
        <v>0</v>
      </c>
      <c r="DY115" s="41" t="n">
        <f aca="false">IF(AND(Tasks[[#This Row],[_IsLeaf]]=1,Tasks[[#This Row],[_LeafTotalWork]]&gt;0),MAX(Tasks[[#This Row],[_StartWorkday]],NETWORKDAYS.INTL(ProjectStart,Tasks[[#This Row],[_ShownFcstFinish]],WorkWeek,Holidays)),0)</f>
        <v>0</v>
      </c>
      <c r="DZ115" s="41" t="n">
        <f aca="false">IF(AND(Tasks[[#This Row],[_IsLeaf]]=1,Tasks[[#This Row],[_LeafTotalWork]]&gt;0),Tasks[[#This Row],[_LeafWork]]/(Tasks[[#This Row],[_FinishWorkday]]-Tasks[[#This Row],[_StartWorkday]]+1),0)</f>
        <v>0</v>
      </c>
      <c r="EA115" s="41" t="n">
        <f aca="false">Tasks[[#This Row],[_WorkPerWorkday]]*(Tasks[[#This Row],[_StartWorkday]]-1)</f>
        <v>-0</v>
      </c>
      <c r="EB115" s="41" t="n">
        <f aca="false">IF(Tasks[[#This Row],[_IsLeaf]]=1,MAX(N(Tasks[[#This Row],[Duration]]),0.1),0)</f>
        <v>0</v>
      </c>
      <c r="EC115" s="41" t="n">
        <f aca="false">Tasks[[#This Row],[_WeightDur]]*Tasks[[#This Row],[_LeafProgress]]</f>
        <v>0</v>
      </c>
      <c r="ED1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5" s="41" t="str">
        <f aca="false">IF(AND(Tasks[[#This Row],[_IsLeaf]]=1,N(Tasks[[#This Row],[Duration]])=0,Tasks[[#This Row],[_LeafProgress]]&lt;1),Tasks[[#This Row],[_ShownFcstFinish]]+Tasks[[#This Row],[_Row]]/100000,"")</f>
        <v/>
      </c>
      <c r="EF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5" s="41" t="n">
        <f aca="false">IF(NOT(Tasks[[#This Row],[_IsLeaf]]=1),0,IF(Tasks[[#This Row],[Baseline Cost]]="",Tasks[[#This Row],[_LeafTotalCost]],N(Tasks[[#This Row],[Baseline Cost]])))</f>
        <v>0</v>
      </c>
      <c r="EH115" s="41" t="n">
        <f aca="false">Tasks[[#This Row],[_LeafBudget]]*Tasks[[#This Row],[_PlannedPct]]</f>
        <v>0</v>
      </c>
      <c r="EI115" s="41" t="n">
        <f aca="false">Tasks[[#This Row],[_LeafBudget]]*Tasks[[#This Row],[_LeafProgress]]</f>
        <v>0</v>
      </c>
      <c r="EJ115" s="41" t="n">
        <f aca="false">IF(NOT(Tasks[[#This Row],[_IsLeaf]]=1),0,IF(Tasks[[#This Row],[Actual Cost]]="",Tasks[[#This Row],[_LeafTotalCost]]*Tasks[[#This Row],[_LeafProgress]],N(Tasks[[#This Row],[Actual Cost]])))</f>
        <v>0</v>
      </c>
      <c r="EK115" s="41" t="str">
        <f aca="false">IF(Tasks[[#This Row],[Task Name]]="","",LEFT(Tasks[[#This Row],[WBS]],FIND(".",Tasks[[#This Row],[WBS]]&amp;".")-1))</f>
        <v/>
      </c>
      <c r="EL115" s="41" t="str">
        <f aca="false">IF(AND(Tasks[[#This Row],[Task Name]]&lt;&gt;"",Tasks[[#This Row],[_Level]]=1),Tasks[[#This Row],[_Row]],"")</f>
        <v/>
      </c>
      <c r="EM115" s="41" t="str">
        <f aca="false">IF(AND(Tasks[[#This Row],[_IsLeaf]]=1,N(Tasks[[#This Row],[Duration]])=0),Tasks[[#This Row],[Planned Finish]]+Tasks[[#This Row],[_Row]]/100000,"")</f>
        <v/>
      </c>
      <c r="EN115" s="41" t="str">
        <f aca="false">IF(AND(Tasks[[#This Row],[_IsLeaf]]=1,Tasks[[#This Row],[_LeafProgress]]&lt;1,OR(N(Tasks[[#This Row],[Finish Var]])&gt;0,Tasks[[#This Row],[Status]]="Late Start")),MAX(0,Tasks[[#This Row],[Finish Var]])+1-Tasks[[#This Row],[_Row]]/1000000,"")</f>
        <v/>
      </c>
      <c r="EO115" s="41" t="str">
        <f aca="false">IF(AND(Tasks[[#This Row],[_IsLeaf]]=1,N(Tasks[[#This Row],[Actual Start]])=0,Tasks[[#This Row],[_ShownFcstStart]]&gt;=StatusDate,Tasks[[#This Row],[_ShownFcstStart]]&lt;=LookaheadEnd),Tasks[[#This Row],[_ShownFcstStart]]+Tasks[[#This Row],[_Row]]/100000,"")</f>
        <v/>
      </c>
      <c r="EP115" s="41" t="str">
        <f aca="false">IF(AND(Tasks[[#This Row],[_IsLeaf]]=1,Tasks[[#This Row],[_LeafProgress]]&lt;1,Tasks[[#This Row],[_ShownFcstFinish]]&gt;=StatusDate,Tasks[[#This Row],[_ShownFcstFinish]]&lt;=LookaheadEnd),Tasks[[#This Row],[_ShownFcstFinish]]+Tasks[[#This Row],[_Row]]/100000,"")</f>
        <v/>
      </c>
      <c r="EQ115" s="41" t="str">
        <f aca="false">IF(Tasks[[#This Row],[_LeafCritical]],Tasks[[#This Row],[_ShownFcstStart]]+Tasks[[#This Row],[_Row]]/100000,"")</f>
        <v/>
      </c>
      <c r="ER115" s="41" t="n">
        <f aca="false">Tasks[[#This Row],[_LeafWork]]*Tasks[[#This Row],[_LeafProgress]]</f>
        <v>0</v>
      </c>
      <c r="ES115" s="101" t="str">
        <f aca="false">IF(AND(Tasks[[#This Row],[_IsLeaf]]=1,Tasks[[#This Row],[_LeafProgress]]&gt;=1),IF(N(Tasks[[#This Row],[Actual Finish]])&gt;0,Tasks[[#This Row],[Actual Finish]],Tasks[[#This Row],[_ShownFcstFinish]]),"")</f>
        <v/>
      </c>
      <c r="ET115" s="41" t="n">
        <f aca="false">IF(Tasks[[#This Row],[_IsLeaf]]=1,N(Tasks[[#This Row],[Story Points]]),0)</f>
        <v>0</v>
      </c>
      <c r="EU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29"/>
      <c r="O116" s="29"/>
      <c r="P116" s="29"/>
      <c r="Q116" s="29"/>
      <c r="R116" s="29"/>
      <c r="S116" s="29"/>
      <c r="T116" s="30"/>
      <c r="U116" s="75"/>
      <c r="V116" s="75"/>
      <c r="W116" s="25" t="str">
        <f aca="false">IF(Tasks[[#This Row],[Task Name]]="","",IF(N(Tasks[[#This Row],[Baseline Start]])&gt;0,Tasks[[#This Row],[Baseline Start]],Tasks[[#This Row],[_CalcStart]]))</f>
        <v/>
      </c>
      <c r="X116" s="25" t="str">
        <f aca="false">IF(Tasks[[#This Row],[Task Name]]="","",IF(N(Tasks[[#This Row],[Baseline Finish]])&gt;0,Tasks[[#This Row],[Baseline Finish]],Tasks[[#This Row],[_CalcFinish]]))</f>
        <v/>
      </c>
      <c r="Y116" s="75"/>
      <c r="Z116" s="75"/>
      <c r="AA116" s="25" t="str">
        <f aca="false">IF(Tasks[[#This Row],[Task Name]]="","",IF(Tasks[[#This Row],[_IsSummary]],MIN(INDEX(Tasks[_ShownFcstStart],Tasks[[#This Row],[_Row]]+1):INDEX(Tasks[_ShownFcstStart],Tasks[[#This Row],[_Row]]+Tasks[[#This Row],[_Descendants]])),Tasks[[#This Row],[_ShownFcstStart]]))</f>
        <v/>
      </c>
      <c r="AB116" s="25" t="str">
        <f aca="false">IF(Tasks[[#This Row],[Task Name]]="","",IF(Tasks[[#This Row],[_IsSummary]],MAX(INDEX(Tasks[_ShownFcstFinish],Tasks[[#This Row],[_Row]]+1):INDEX(Tasks[_ShownFcstFinish],Tasks[[#This Row],[_Row]]+Tasks[[#This Row],[_Descendants]])),Tasks[[#This Row],[_ShownFcstFinish]]))</f>
        <v/>
      </c>
      <c r="AC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6" s="25" t="str">
        <f aca="false">IF(Tasks[[#This Row],[Task Name]]="","",IF(Tasks[[#This Row],[_IsSummary]],MIN(INDEX(Tasks[_LeafLateStart],Tasks[[#This Row],[_Row]]+1):INDEX(Tasks[_LeafLateStart],Tasks[[#This Row],[_Row]]+Tasks[[#This Row],[_Descendants]])),Tasks[[#This Row],[_LeafLateStart]]))</f>
        <v/>
      </c>
      <c r="AF116" s="25" t="str">
        <f aca="false">IF(Tasks[[#This Row],[Task Name]]="","",IF(Tasks[[#This Row],[_IsSummary]],MAX(INDEX(Tasks[_LeafLateFinish],Tasks[[#This Row],[_Row]]+1):INDEX(Tasks[_LeafLateFinish],Tasks[[#This Row],[_Row]]+Tasks[[#This Row],[_Descendants]])),Tasks[[#This Row],[_LeafLateFinish]]))</f>
        <v/>
      </c>
      <c r="AG116" s="28" t="str">
        <f aca="false">IF(Tasks[[#This Row],[Task Name]]="","",IF(Tasks[[#This Row],[_IsSummary]],MIN(INDEX(Tasks[_LeafTotalSlack],Tasks[[#This Row],[_Row]]+1):INDEX(Tasks[_LeafTotalSlack],Tasks[[#This Row],[_Row]]+Tasks[[#This Row],[_Descendants]])),Tasks[[#This Row],[_LeafTotalSlack]]))</f>
        <v/>
      </c>
      <c r="AH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6" s="28" t="str">
        <f aca="false">IF(Tasks[[#This Row],[Task Name]]="","",IF(IF(Tasks[[#This Row],[_IsSummary]],COUNTIF(INDEX(Tasks[_LeafCritical],Tasks[[#This Row],[_Row]]+1):INDEX(Tasks[_LeafCritical],Tasks[[#This Row],[_Row]]+Tasks[[#This Row],[_Descendants]]),TRUE())&gt;0,Tasks[[#This Row],[_LeafCritical]]),"Yes",""))</f>
        <v/>
      </c>
      <c r="AJ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6" s="89"/>
      <c r="AM1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6" s="28" t="str">
        <f aca="false">IF(Tasks[[#This Row],[Task Name]]="","",IF(Tasks[[#This Row],[Progress]]&gt;=1,"Complete",IF(OR(N(Tasks[[#This Row],[Actual Start]])&gt;0,Tasks[[#This Row],[Progress]]&gt;0),IF(Tasks[[#This Row],[Finish Var]]&gt;0,"Behind","In Progress"),IF(Tasks[[#This Row],[Planned Start]]&lt;StatusDate,"Late Start","Not Started"))))</f>
        <v/>
      </c>
      <c r="AO116" s="30"/>
      <c r="AP116" s="89"/>
      <c r="AQ1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6" s="96" t="str">
        <f aca="false">IF(Tasks[[#This Row],[Task Name]]="","",IF(Tasks[[#This Row],[_IsSummary]],SUM(INDEX(Tasks[_LeafTotalWork],Tasks[[#This Row],[_Row]]+1):INDEX(Tasks[_LeafTotalWork],Tasks[[#This Row],[_Row]]+Tasks[[#This Row],[_Descendants]])),Tasks[[#This Row],[_LeafTotalWork]]))</f>
        <v/>
      </c>
      <c r="AT116" s="97" t="str">
        <f aca="false">IF(Tasks[[#This Row],[Task Name]]="","",IF(Tasks[[#This Row],[_IsSummary]],SUM(INDEX(Tasks[_LeafTotalCost],Tasks[[#This Row],[_Row]]+1):INDEX(Tasks[_LeafTotalCost],Tasks[[#This Row],[_Row]]+Tasks[[#This Row],[_Descendants]])),Tasks[[#This Row],[_LeafTotalCost]]))</f>
        <v/>
      </c>
      <c r="AU116" s="98"/>
      <c r="AV116" s="29"/>
      <c r="AW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6" s="83"/>
      <c r="AY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6" s="30"/>
      <c r="BA116" s="25" t="str">
        <f aca="false">IF(Tasks[[#This Row],[Task Name]]="","",Tasks[[#This Row],[Forecast Start]])</f>
        <v/>
      </c>
      <c r="BB116" s="25" t="str">
        <f aca="false">IF(Tasks[[#This Row],[Task Name]]="","",Tasks[[#This Row],[Forecast Finish]])</f>
        <v/>
      </c>
      <c r="BC116" s="28" t="str">
        <f aca="false">IF(Tasks[[#This Row],[Task Name]]="","",IF(Tasks[[#This Row],[_IsSummary]],NETWORKDAYS.INTL(Tasks[[#This Row],[Forecast Start]],Tasks[[#This Row],[Forecast Finish]],WorkWeek,Holidays),N(Tasks[[#This Row],[Duration]])))</f>
        <v/>
      </c>
      <c r="BD116" s="96" t="str">
        <f aca="false">IF(Tasks[[#This Row],[Task Name]]="","",Tasks[[#This Row],[Work]])</f>
        <v/>
      </c>
      <c r="BE116" s="97" t="str">
        <f aca="false">IF(Tasks[[#This Row],[Task Name]]="","",Tasks[[#This Row],[Cost]])</f>
        <v/>
      </c>
      <c r="BF116" s="75"/>
      <c r="BG116" s="75"/>
      <c r="BH116" s="29"/>
      <c r="BI116" s="99"/>
      <c r="BJ116" s="98"/>
      <c r="BK116" s="28" t="str">
        <f aca="false">IF(OR(Tasks[[#This Row],[Task Name]]="",Tasks[[#This Row],[Baseline Duration]]=""),"",Tasks[[#This Row],[BL Source Duration]]-N(Tasks[[#This Row],[Baseline Duration]]))</f>
        <v/>
      </c>
      <c r="BL116" s="96" t="str">
        <f aca="false">IF(OR(Tasks[[#This Row],[Task Name]]="",Tasks[[#This Row],[Baseline Work]]=""),"",Tasks[[#This Row],[Work]]-N(Tasks[[#This Row],[Baseline Work]]))</f>
        <v/>
      </c>
      <c r="BM116" s="97" t="str">
        <f aca="false">IF(OR(Tasks[[#This Row],[Task Name]]="",Tasks[[#This Row],[Baseline Cost]]=""),"",Tasks[[#This Row],[Cost]]-N(Tasks[[#This Row],[Baseline Cost]]))</f>
        <v/>
      </c>
      <c r="BN116" s="97" t="str">
        <f aca="false">IF(Tasks[[#This Row],[Task Name]]="","",IF(Tasks[[#This Row],[_IsSummary]],SUM(INDEX(Tasks[_LeafBudget],Tasks[[#This Row],[_Row]]+1):INDEX(Tasks[_LeafBudget],Tasks[[#This Row],[_Row]]+Tasks[[#This Row],[_Descendants]])),Tasks[[#This Row],[_LeafBudget]]))</f>
        <v/>
      </c>
      <c r="BO116" s="97" t="str">
        <f aca="false">IF(Tasks[[#This Row],[Task Name]]="","",IF(Tasks[[#This Row],[_IsSummary]],SUM(INDEX(Tasks[_LeafPV],Tasks[[#This Row],[_Row]]+1):INDEX(Tasks[_LeafPV],Tasks[[#This Row],[_Row]]+Tasks[[#This Row],[_Descendants]])),Tasks[[#This Row],[_LeafPV]]))</f>
        <v/>
      </c>
      <c r="BP116" s="97" t="str">
        <f aca="false">IF(Tasks[[#This Row],[Task Name]]="","",IF(Tasks[[#This Row],[_IsSummary]],SUM(INDEX(Tasks[_LeafEV],Tasks[[#This Row],[_Row]]+1):INDEX(Tasks[_LeafEV],Tasks[[#This Row],[_Row]]+Tasks[[#This Row],[_Descendants]])),Tasks[[#This Row],[_LeafEV]]))</f>
        <v/>
      </c>
      <c r="BQ116" s="97" t="str">
        <f aca="false">IF(Tasks[[#This Row],[Task Name]]="","",IF(Tasks[[#This Row],[_IsSummary]],SUM(INDEX(Tasks[_LeafAC],Tasks[[#This Row],[_Row]]+1):INDEX(Tasks[_LeafAC],Tasks[[#This Row],[_Row]]+Tasks[[#This Row],[_Descendants]])),Tasks[[#This Row],[_LeafAC]]))</f>
        <v/>
      </c>
      <c r="BR116" s="41" t="str">
        <f aca="false">IF(Tasks[[#This Row],[Task Name]]="","",MAX(1,N(Tasks[[#This Row],[Level]])))</f>
        <v/>
      </c>
      <c r="BS116" s="41" t="n">
        <f aca="false">ROW()-ROW(Tasks[[#Headers],[ID]])</f>
        <v>111</v>
      </c>
      <c r="BT116" s="41" t="n">
        <f aca="false">IF(OR(Tasks[[#This Row],[Task Name]]="",Tasks[[#This Row],[_Level]]&lt;=1),0,IFERROR(LOOKUP(2,1/(Tasks[[#Headers],[_Level]]:Tasks[[#This Row],[_Level]]=Tasks[[#This Row],[_Level]]-1),ROW(Tasks[[#Headers],[_Level]]:Tasks[[#This Row],[_Level]])),0))</f>
        <v>0</v>
      </c>
      <c r="BU116" s="41" t="n">
        <f aca="false">IFERROR(N(INDEX(Tasks[_Level],Tasks[[#This Row],[_Row]]+1)),0)</f>
        <v>0</v>
      </c>
      <c r="BV116" s="100" t="b">
        <f aca="false">AND(Tasks[[#This Row],[Task Name]]&lt;&gt;"",Tasks[[#This Row],[_NextLevel]]&gt;Tasks[[#This Row],[_Level]])</f>
        <v>0</v>
      </c>
      <c r="BW116" s="41" t="n">
        <f aca="false">IF(Tasks[[#This Row],[_IsSummary]],COUNTIF(Tasks[WBS],Tasks[[#This Row],[WBS]]&amp;".*"),0)</f>
        <v>0</v>
      </c>
      <c r="BX116" s="41" t="n">
        <f aca="false">IF(AND(Tasks[[#This Row],[Task Name]]&lt;&gt;"",NOT(Tasks[[#This Row],[_IsSummary]])),1,0)</f>
        <v>0</v>
      </c>
      <c r="BY116" s="41" t="n">
        <f aca="false">IF(N(Tasks[[#This Row],[Pred1 UID]])=0,0,IFERROR(MATCH(Tasks[[#This Row],[Pred1 UID]],Tasks[UID],0),-1))</f>
        <v>0</v>
      </c>
      <c r="BZ116" s="41" t="n">
        <f aca="false">IF(N(Tasks[[#This Row],[Pred2 UID]])=0,0,IFERROR(MATCH(Tasks[[#This Row],[Pred2 UID]],Tasks[UID],0),-1))</f>
        <v>0</v>
      </c>
      <c r="CA116" s="41" t="n">
        <f aca="false">IF(N(Tasks[[#This Row],[Pred3 UID]])=0,0,IFERROR(MATCH(Tasks[[#This Row],[Pred3 UID]],Tasks[UID],0),-1))</f>
        <v>0</v>
      </c>
      <c r="CB116" s="41" t="n">
        <f aca="false">IF(N(Tasks[[#This Row],[Pred4 UID]])=0,0,IFERROR(MATCH(Tasks[[#This Row],[Pred4 UID]],Tasks[UID],0),-1))</f>
        <v>0</v>
      </c>
      <c r="CC1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6" s="101" t="n">
        <f aca="false">IF(OR(Tasks[[#This Row],[_ConstraintCode]]=2,Tasks[[#This Row],[_ConstraintCode]]=3,Tasks[[#This Row],[_ConstraintCode]]=4,Tasks[[#This Row],[_ConstraintCode]]=6),Tasks[[#This Row],[_ConstraintStart]],0)</f>
        <v>0</v>
      </c>
      <c r="CF116" s="101" t="n">
        <f aca="false">IF(OR(Tasks[[#This Row],[_ConstraintCode]]=2,Tasks[[#This Row],[_ConstraintCode]]=3,Tasks[[#This Row],[_ConstraintCode]]=5,Tasks[[#This Row],[_ConstraintCode]]=7),Tasks[[#This Row],[_ConstraintStart]],2958465)</f>
        <v>2958465</v>
      </c>
      <c r="CG11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6" s="101" t="str">
        <f aca="false">IF(NOT(Tasks[[#This Row],[_IsLeaf]]=1),"",IF(N(Tasks[[#This Row],[Duration]])&lt;=0,Tasks[[#This Row],[_LeafCalcStart]],WORKDAY.INTL(Tasks[[#This Row],[_LeafCalcStart]],Tasks[[#This Row],[Duration]]-1,WorkWeek,Holidays)))</f>
        <v/>
      </c>
      <c r="CI11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6" s="41" t="n">
        <f aca="false">IF(NOT(Tasks[[#This Row],[_IsLeaf]]=1),0,IF(N(Tasks[[#This Row],[Actual Finish]])&gt;0,1,MIN(1,N(Tasks[[#This Row],[% Complete]]))))</f>
        <v>0</v>
      </c>
      <c r="CL116" s="41" t="n">
        <f aca="false">IF(OR(NOT(Tasks[[#This Row],[_IsLeaf]]=1),Tasks[[#This Row],[Resource]]=""),0,N(Tasks[[#This Row],[Duration]])*HoursPerDay*IF(Tasks[[#This Row],[Units]]="",DefaultUnits,Tasks[[#This Row],[Units]]))</f>
        <v>0</v>
      </c>
      <c r="CM116" s="41" t="n">
        <f aca="false">IF(Tasks[[#This Row],[_LeafWork]]=0,0,Tasks[[#This Row],[_LeafWork]]*IFERROR(INDEX(res_Rate,MATCH(Tasks[[#This Row],[Resource]],res_Name,0)),0))</f>
        <v>0</v>
      </c>
      <c r="CN116" s="41" t="n">
        <f aca="false">Tasks[[#This Row],[_LeafWork]]+IF(Tasks[[#This Row],[_IsLeaf]]=1,SUMIFS(asg_Work,asg_TaskUID,Tasks[[#This Row],[UID]],asg_Valid,1),0)</f>
        <v>0</v>
      </c>
      <c r="CO116" s="41" t="n">
        <f aca="false">Tasks[[#This Row],[_LeafCost]]+IF(Tasks[[#This Row],[_IsLeaf]]=1,SUMIFS(asg_Cost,asg_TaskUID,Tasks[[#This Row],[UID]],asg_Valid,1),0)</f>
        <v>0</v>
      </c>
      <c r="CP116" s="41" t="n">
        <f aca="false">IF(Tasks[[#This Row],[_LeafTotalCost]]=0,Tasks[[#This Row],[_LeafAC]],Tasks[[#This Row],[_LeafAC]]*Tasks[[#This Row],[_LeafCost]]/Tasks[[#This Row],[_LeafTotalCost]])</f>
        <v>0</v>
      </c>
      <c r="CQ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6" s="41" t="n">
        <f aca="false">IF(NOT(Tasks[[#This Row],[_IsLeaf]]=1),0,MAX(_xlfn.MAXIFS(Tasks[_Row],Tasks[Pred1 UID],Tasks[[#This Row],[UID]]),_xlfn.MAXIFS(Tasks[_Row],Tasks[Pred2 UID],Tasks[[#This Row],[UID]]),_xlfn.MAXIFS(Tasks[_Row],Tasks[Pred3 UID],Tasks[[#This Row],[UID]]),_xlfn.MAXIFS(Tasks[_Row],Tasks[Pred4 UID],Tasks[[#This Row],[UID]])))</f>
        <v>0</v>
      </c>
      <c r="CZ1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6" s="101" t="str">
        <f aca="false">IF(NOT(Tasks[[#This Row],[_IsLeaf]]=1),"",IF(N(Tasks[[#This Row],[Duration]])&lt;=0,Tasks[[#This Row],[_LeafLateFinish]],WORKDAY.INTL(Tasks[[#This Row],[_LeafLateFinish]],-(Tasks[[#This Row],[Duration]]-1),WorkWeek,Holidays)))</f>
        <v/>
      </c>
      <c r="DC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6" s="100" t="b">
        <f aca="false">AND(Tasks[[#This Row],[_IsLeaf]]=1,Tasks[[#This Row],[_LeafProgress]]&lt;1,N(Tasks[[#This Row],[_LeafTotalSlack]])&lt;=CriticalSlackDays)</f>
        <v>0</v>
      </c>
      <c r="DE116" s="41" t="n">
        <f aca="false">IF(AND(Tasks[[#This Row],[_IsLeaf]]=1,Tasks[[#This Row],[_ConstraintCode]]=1,Tasks[[#This Row],[Mode]]&lt;&gt;"Manual",N(Tasks[[#This Row],[Actual Start]])=0),MAX(0,N(Tasks[[#This Row],[Free Slack]])),0)</f>
        <v>0</v>
      </c>
      <c r="DF116" s="101" t="str">
        <f aca="false">IF(NOT(Tasks[[#This Row],[_IsLeaf]]=1),"",IF(Tasks[[#This Row],[_AlapShift]]=0,Tasks[[#This Row],[_LeafCalcStart]],WORKDAY.INTL(Tasks[[#This Row],[_LeafCalcStart]],Tasks[[#This Row],[_AlapShift]],WorkWeek,Holidays)))</f>
        <v/>
      </c>
      <c r="DG116" s="101" t="str">
        <f aca="false">IF(NOT(Tasks[[#This Row],[_IsLeaf]]=1),"",IF(Tasks[[#This Row],[_AlapShift]]=0,Tasks[[#This Row],[_LeafCalcFinish]],WORKDAY.INTL(Tasks[[#This Row],[_LeafCalcFinish]],Tasks[[#This Row],[_AlapShift]],WorkWeek,Holidays)))</f>
        <v/>
      </c>
      <c r="DH116" s="101" t="str">
        <f aca="false">IF(NOT(Tasks[[#This Row],[_IsLeaf]]=1),"",IF(Tasks[[#This Row],[_AlapShift]]=0,Tasks[[#This Row],[_LeafFcstStart]],WORKDAY.INTL(Tasks[[#This Row],[_LeafFcstStart]],Tasks[[#This Row],[_AlapShift]],WorkWeek,Holidays)))</f>
        <v/>
      </c>
      <c r="DI116" s="101" t="str">
        <f aca="false">IF(NOT(Tasks[[#This Row],[_IsLeaf]]=1),"",IF(Tasks[[#This Row],[_AlapShift]]=0,Tasks[[#This Row],[_LeafFcstFinish]],WORKDAY.INTL(Tasks[[#This Row],[_LeafFcstFinish]],Tasks[[#This Row],[_AlapShift]],WorkWeek,Holidays)))</f>
        <v/>
      </c>
      <c r="DJ116" s="101" t="str">
        <f aca="false">IF(Tasks[[#This Row],[Task Name]]="","",IF(Tasks[[#This Row],[_IsSummary]],MIN(INDEX(Tasks[_ShownCalcStart],Tasks[[#This Row],[_Row]]+1):INDEX(Tasks[_ShownCalcStart],Tasks[[#This Row],[_Row]]+Tasks[[#This Row],[_Descendants]])),Tasks[[#This Row],[_ShownCalcStart]]))</f>
        <v/>
      </c>
      <c r="DK116" s="101" t="str">
        <f aca="false">IF(Tasks[[#This Row],[Task Name]]="","",IF(Tasks[[#This Row],[_IsSummary]],MAX(INDEX(Tasks[_ShownCalcFinish],Tasks[[#This Row],[_Row]]+1):INDEX(Tasks[_ShownCalcFinish],Tasks[[#This Row],[_Row]]+Tasks[[#This Row],[_Descendants]])),Tasks[[#This Row],[_ShownCalcFinish]]))</f>
        <v/>
      </c>
      <c r="D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6" s="41" t="n">
        <f aca="false">IF(AND(Tasks[[#This Row],[_IsLeaf]]=1,Tasks[[#This Row],[_LeafTotalWork]]&gt;0),NETWORKDAYS.INTL(ProjectStart,Tasks[[#This Row],[_ShownFcstStart]],WorkWeek,Holidays),0)</f>
        <v>0</v>
      </c>
      <c r="DY116" s="41" t="n">
        <f aca="false">IF(AND(Tasks[[#This Row],[_IsLeaf]]=1,Tasks[[#This Row],[_LeafTotalWork]]&gt;0),MAX(Tasks[[#This Row],[_StartWorkday]],NETWORKDAYS.INTL(ProjectStart,Tasks[[#This Row],[_ShownFcstFinish]],WorkWeek,Holidays)),0)</f>
        <v>0</v>
      </c>
      <c r="DZ116" s="41" t="n">
        <f aca="false">IF(AND(Tasks[[#This Row],[_IsLeaf]]=1,Tasks[[#This Row],[_LeafTotalWork]]&gt;0),Tasks[[#This Row],[_LeafWork]]/(Tasks[[#This Row],[_FinishWorkday]]-Tasks[[#This Row],[_StartWorkday]]+1),0)</f>
        <v>0</v>
      </c>
      <c r="EA116" s="41" t="n">
        <f aca="false">Tasks[[#This Row],[_WorkPerWorkday]]*(Tasks[[#This Row],[_StartWorkday]]-1)</f>
        <v>-0</v>
      </c>
      <c r="EB116" s="41" t="n">
        <f aca="false">IF(Tasks[[#This Row],[_IsLeaf]]=1,MAX(N(Tasks[[#This Row],[Duration]]),0.1),0)</f>
        <v>0</v>
      </c>
      <c r="EC116" s="41" t="n">
        <f aca="false">Tasks[[#This Row],[_WeightDur]]*Tasks[[#This Row],[_LeafProgress]]</f>
        <v>0</v>
      </c>
      <c r="ED1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6" s="41" t="str">
        <f aca="false">IF(AND(Tasks[[#This Row],[_IsLeaf]]=1,N(Tasks[[#This Row],[Duration]])=0,Tasks[[#This Row],[_LeafProgress]]&lt;1),Tasks[[#This Row],[_ShownFcstFinish]]+Tasks[[#This Row],[_Row]]/100000,"")</f>
        <v/>
      </c>
      <c r="EF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6" s="41" t="n">
        <f aca="false">IF(NOT(Tasks[[#This Row],[_IsLeaf]]=1),0,IF(Tasks[[#This Row],[Baseline Cost]]="",Tasks[[#This Row],[_LeafTotalCost]],N(Tasks[[#This Row],[Baseline Cost]])))</f>
        <v>0</v>
      </c>
      <c r="EH116" s="41" t="n">
        <f aca="false">Tasks[[#This Row],[_LeafBudget]]*Tasks[[#This Row],[_PlannedPct]]</f>
        <v>0</v>
      </c>
      <c r="EI116" s="41" t="n">
        <f aca="false">Tasks[[#This Row],[_LeafBudget]]*Tasks[[#This Row],[_LeafProgress]]</f>
        <v>0</v>
      </c>
      <c r="EJ116" s="41" t="n">
        <f aca="false">IF(NOT(Tasks[[#This Row],[_IsLeaf]]=1),0,IF(Tasks[[#This Row],[Actual Cost]]="",Tasks[[#This Row],[_LeafTotalCost]]*Tasks[[#This Row],[_LeafProgress]],N(Tasks[[#This Row],[Actual Cost]])))</f>
        <v>0</v>
      </c>
      <c r="EK116" s="41" t="str">
        <f aca="false">IF(Tasks[[#This Row],[Task Name]]="","",LEFT(Tasks[[#This Row],[WBS]],FIND(".",Tasks[[#This Row],[WBS]]&amp;".")-1))</f>
        <v/>
      </c>
      <c r="EL116" s="41" t="str">
        <f aca="false">IF(AND(Tasks[[#This Row],[Task Name]]&lt;&gt;"",Tasks[[#This Row],[_Level]]=1),Tasks[[#This Row],[_Row]],"")</f>
        <v/>
      </c>
      <c r="EM116" s="41" t="str">
        <f aca="false">IF(AND(Tasks[[#This Row],[_IsLeaf]]=1,N(Tasks[[#This Row],[Duration]])=0),Tasks[[#This Row],[Planned Finish]]+Tasks[[#This Row],[_Row]]/100000,"")</f>
        <v/>
      </c>
      <c r="EN116" s="41" t="str">
        <f aca="false">IF(AND(Tasks[[#This Row],[_IsLeaf]]=1,Tasks[[#This Row],[_LeafProgress]]&lt;1,OR(N(Tasks[[#This Row],[Finish Var]])&gt;0,Tasks[[#This Row],[Status]]="Late Start")),MAX(0,Tasks[[#This Row],[Finish Var]])+1-Tasks[[#This Row],[_Row]]/1000000,"")</f>
        <v/>
      </c>
      <c r="EO116" s="41" t="str">
        <f aca="false">IF(AND(Tasks[[#This Row],[_IsLeaf]]=1,N(Tasks[[#This Row],[Actual Start]])=0,Tasks[[#This Row],[_ShownFcstStart]]&gt;=StatusDate,Tasks[[#This Row],[_ShownFcstStart]]&lt;=LookaheadEnd),Tasks[[#This Row],[_ShownFcstStart]]+Tasks[[#This Row],[_Row]]/100000,"")</f>
        <v/>
      </c>
      <c r="EP116" s="41" t="str">
        <f aca="false">IF(AND(Tasks[[#This Row],[_IsLeaf]]=1,Tasks[[#This Row],[_LeafProgress]]&lt;1,Tasks[[#This Row],[_ShownFcstFinish]]&gt;=StatusDate,Tasks[[#This Row],[_ShownFcstFinish]]&lt;=LookaheadEnd),Tasks[[#This Row],[_ShownFcstFinish]]+Tasks[[#This Row],[_Row]]/100000,"")</f>
        <v/>
      </c>
      <c r="EQ116" s="41" t="str">
        <f aca="false">IF(Tasks[[#This Row],[_LeafCritical]],Tasks[[#This Row],[_ShownFcstStart]]+Tasks[[#This Row],[_Row]]/100000,"")</f>
        <v/>
      </c>
      <c r="ER116" s="41" t="n">
        <f aca="false">Tasks[[#This Row],[_LeafWork]]*Tasks[[#This Row],[_LeafProgress]]</f>
        <v>0</v>
      </c>
      <c r="ES116" s="101" t="str">
        <f aca="false">IF(AND(Tasks[[#This Row],[_IsLeaf]]=1,Tasks[[#This Row],[_LeafProgress]]&gt;=1),IF(N(Tasks[[#This Row],[Actual Finish]])&gt;0,Tasks[[#This Row],[Actual Finish]],Tasks[[#This Row],[_ShownFcstFinish]]),"")</f>
        <v/>
      </c>
      <c r="ET116" s="41" t="n">
        <f aca="false">IF(Tasks[[#This Row],[_IsLeaf]]=1,N(Tasks[[#This Row],[Story Points]]),0)</f>
        <v>0</v>
      </c>
      <c r="EU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29"/>
      <c r="O117" s="29"/>
      <c r="P117" s="29"/>
      <c r="Q117" s="29"/>
      <c r="R117" s="29"/>
      <c r="S117" s="29"/>
      <c r="T117" s="30"/>
      <c r="U117" s="75"/>
      <c r="V117" s="75"/>
      <c r="W117" s="25" t="str">
        <f aca="false">IF(Tasks[[#This Row],[Task Name]]="","",IF(N(Tasks[[#This Row],[Baseline Start]])&gt;0,Tasks[[#This Row],[Baseline Start]],Tasks[[#This Row],[_CalcStart]]))</f>
        <v/>
      </c>
      <c r="X117" s="25" t="str">
        <f aca="false">IF(Tasks[[#This Row],[Task Name]]="","",IF(N(Tasks[[#This Row],[Baseline Finish]])&gt;0,Tasks[[#This Row],[Baseline Finish]],Tasks[[#This Row],[_CalcFinish]]))</f>
        <v/>
      </c>
      <c r="Y117" s="75"/>
      <c r="Z117" s="75"/>
      <c r="AA117" s="25" t="str">
        <f aca="false">IF(Tasks[[#This Row],[Task Name]]="","",IF(Tasks[[#This Row],[_IsSummary]],MIN(INDEX(Tasks[_ShownFcstStart],Tasks[[#This Row],[_Row]]+1):INDEX(Tasks[_ShownFcstStart],Tasks[[#This Row],[_Row]]+Tasks[[#This Row],[_Descendants]])),Tasks[[#This Row],[_ShownFcstStart]]))</f>
        <v/>
      </c>
      <c r="AB117" s="25" t="str">
        <f aca="false">IF(Tasks[[#This Row],[Task Name]]="","",IF(Tasks[[#This Row],[_IsSummary]],MAX(INDEX(Tasks[_ShownFcstFinish],Tasks[[#This Row],[_Row]]+1):INDEX(Tasks[_ShownFcstFinish],Tasks[[#This Row],[_Row]]+Tasks[[#This Row],[_Descendants]])),Tasks[[#This Row],[_ShownFcstFinish]]))</f>
        <v/>
      </c>
      <c r="AC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7" s="25" t="str">
        <f aca="false">IF(Tasks[[#This Row],[Task Name]]="","",IF(Tasks[[#This Row],[_IsSummary]],MIN(INDEX(Tasks[_LeafLateStart],Tasks[[#This Row],[_Row]]+1):INDEX(Tasks[_LeafLateStart],Tasks[[#This Row],[_Row]]+Tasks[[#This Row],[_Descendants]])),Tasks[[#This Row],[_LeafLateStart]]))</f>
        <v/>
      </c>
      <c r="AF117" s="25" t="str">
        <f aca="false">IF(Tasks[[#This Row],[Task Name]]="","",IF(Tasks[[#This Row],[_IsSummary]],MAX(INDEX(Tasks[_LeafLateFinish],Tasks[[#This Row],[_Row]]+1):INDEX(Tasks[_LeafLateFinish],Tasks[[#This Row],[_Row]]+Tasks[[#This Row],[_Descendants]])),Tasks[[#This Row],[_LeafLateFinish]]))</f>
        <v/>
      </c>
      <c r="AG117" s="28" t="str">
        <f aca="false">IF(Tasks[[#This Row],[Task Name]]="","",IF(Tasks[[#This Row],[_IsSummary]],MIN(INDEX(Tasks[_LeafTotalSlack],Tasks[[#This Row],[_Row]]+1):INDEX(Tasks[_LeafTotalSlack],Tasks[[#This Row],[_Row]]+Tasks[[#This Row],[_Descendants]])),Tasks[[#This Row],[_LeafTotalSlack]]))</f>
        <v/>
      </c>
      <c r="AH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7" s="28" t="str">
        <f aca="false">IF(Tasks[[#This Row],[Task Name]]="","",IF(IF(Tasks[[#This Row],[_IsSummary]],COUNTIF(INDEX(Tasks[_LeafCritical],Tasks[[#This Row],[_Row]]+1):INDEX(Tasks[_LeafCritical],Tasks[[#This Row],[_Row]]+Tasks[[#This Row],[_Descendants]]),TRUE())&gt;0,Tasks[[#This Row],[_LeafCritical]]),"Yes",""))</f>
        <v/>
      </c>
      <c r="AJ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7" s="89"/>
      <c r="AM1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7" s="28" t="str">
        <f aca="false">IF(Tasks[[#This Row],[Task Name]]="","",IF(Tasks[[#This Row],[Progress]]&gt;=1,"Complete",IF(OR(N(Tasks[[#This Row],[Actual Start]])&gt;0,Tasks[[#This Row],[Progress]]&gt;0),IF(Tasks[[#This Row],[Finish Var]]&gt;0,"Behind","In Progress"),IF(Tasks[[#This Row],[Planned Start]]&lt;StatusDate,"Late Start","Not Started"))))</f>
        <v/>
      </c>
      <c r="AO117" s="30"/>
      <c r="AP117" s="89"/>
      <c r="AQ1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7" s="96" t="str">
        <f aca="false">IF(Tasks[[#This Row],[Task Name]]="","",IF(Tasks[[#This Row],[_IsSummary]],SUM(INDEX(Tasks[_LeafTotalWork],Tasks[[#This Row],[_Row]]+1):INDEX(Tasks[_LeafTotalWork],Tasks[[#This Row],[_Row]]+Tasks[[#This Row],[_Descendants]])),Tasks[[#This Row],[_LeafTotalWork]]))</f>
        <v/>
      </c>
      <c r="AT117" s="97" t="str">
        <f aca="false">IF(Tasks[[#This Row],[Task Name]]="","",IF(Tasks[[#This Row],[_IsSummary]],SUM(INDEX(Tasks[_LeafTotalCost],Tasks[[#This Row],[_Row]]+1):INDEX(Tasks[_LeafTotalCost],Tasks[[#This Row],[_Row]]+Tasks[[#This Row],[_Descendants]])),Tasks[[#This Row],[_LeafTotalCost]]))</f>
        <v/>
      </c>
      <c r="AU117" s="98"/>
      <c r="AV117" s="29"/>
      <c r="AW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7" s="83"/>
      <c r="AY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7" s="30"/>
      <c r="BA117" s="25" t="str">
        <f aca="false">IF(Tasks[[#This Row],[Task Name]]="","",Tasks[[#This Row],[Forecast Start]])</f>
        <v/>
      </c>
      <c r="BB117" s="25" t="str">
        <f aca="false">IF(Tasks[[#This Row],[Task Name]]="","",Tasks[[#This Row],[Forecast Finish]])</f>
        <v/>
      </c>
      <c r="BC117" s="28" t="str">
        <f aca="false">IF(Tasks[[#This Row],[Task Name]]="","",IF(Tasks[[#This Row],[_IsSummary]],NETWORKDAYS.INTL(Tasks[[#This Row],[Forecast Start]],Tasks[[#This Row],[Forecast Finish]],WorkWeek,Holidays),N(Tasks[[#This Row],[Duration]])))</f>
        <v/>
      </c>
      <c r="BD117" s="96" t="str">
        <f aca="false">IF(Tasks[[#This Row],[Task Name]]="","",Tasks[[#This Row],[Work]])</f>
        <v/>
      </c>
      <c r="BE117" s="97" t="str">
        <f aca="false">IF(Tasks[[#This Row],[Task Name]]="","",Tasks[[#This Row],[Cost]])</f>
        <v/>
      </c>
      <c r="BF117" s="75"/>
      <c r="BG117" s="75"/>
      <c r="BH117" s="29"/>
      <c r="BI117" s="99"/>
      <c r="BJ117" s="98"/>
      <c r="BK117" s="28" t="str">
        <f aca="false">IF(OR(Tasks[[#This Row],[Task Name]]="",Tasks[[#This Row],[Baseline Duration]]=""),"",Tasks[[#This Row],[BL Source Duration]]-N(Tasks[[#This Row],[Baseline Duration]]))</f>
        <v/>
      </c>
      <c r="BL117" s="96" t="str">
        <f aca="false">IF(OR(Tasks[[#This Row],[Task Name]]="",Tasks[[#This Row],[Baseline Work]]=""),"",Tasks[[#This Row],[Work]]-N(Tasks[[#This Row],[Baseline Work]]))</f>
        <v/>
      </c>
      <c r="BM117" s="97" t="str">
        <f aca="false">IF(OR(Tasks[[#This Row],[Task Name]]="",Tasks[[#This Row],[Baseline Cost]]=""),"",Tasks[[#This Row],[Cost]]-N(Tasks[[#This Row],[Baseline Cost]]))</f>
        <v/>
      </c>
      <c r="BN117" s="97" t="str">
        <f aca="false">IF(Tasks[[#This Row],[Task Name]]="","",IF(Tasks[[#This Row],[_IsSummary]],SUM(INDEX(Tasks[_LeafBudget],Tasks[[#This Row],[_Row]]+1):INDEX(Tasks[_LeafBudget],Tasks[[#This Row],[_Row]]+Tasks[[#This Row],[_Descendants]])),Tasks[[#This Row],[_LeafBudget]]))</f>
        <v/>
      </c>
      <c r="BO117" s="97" t="str">
        <f aca="false">IF(Tasks[[#This Row],[Task Name]]="","",IF(Tasks[[#This Row],[_IsSummary]],SUM(INDEX(Tasks[_LeafPV],Tasks[[#This Row],[_Row]]+1):INDEX(Tasks[_LeafPV],Tasks[[#This Row],[_Row]]+Tasks[[#This Row],[_Descendants]])),Tasks[[#This Row],[_LeafPV]]))</f>
        <v/>
      </c>
      <c r="BP117" s="97" t="str">
        <f aca="false">IF(Tasks[[#This Row],[Task Name]]="","",IF(Tasks[[#This Row],[_IsSummary]],SUM(INDEX(Tasks[_LeafEV],Tasks[[#This Row],[_Row]]+1):INDEX(Tasks[_LeafEV],Tasks[[#This Row],[_Row]]+Tasks[[#This Row],[_Descendants]])),Tasks[[#This Row],[_LeafEV]]))</f>
        <v/>
      </c>
      <c r="BQ117" s="97" t="str">
        <f aca="false">IF(Tasks[[#This Row],[Task Name]]="","",IF(Tasks[[#This Row],[_IsSummary]],SUM(INDEX(Tasks[_LeafAC],Tasks[[#This Row],[_Row]]+1):INDEX(Tasks[_LeafAC],Tasks[[#This Row],[_Row]]+Tasks[[#This Row],[_Descendants]])),Tasks[[#This Row],[_LeafAC]]))</f>
        <v/>
      </c>
      <c r="BR117" s="41" t="str">
        <f aca="false">IF(Tasks[[#This Row],[Task Name]]="","",MAX(1,N(Tasks[[#This Row],[Level]])))</f>
        <v/>
      </c>
      <c r="BS117" s="41" t="n">
        <f aca="false">ROW()-ROW(Tasks[[#Headers],[ID]])</f>
        <v>112</v>
      </c>
      <c r="BT117" s="41" t="n">
        <f aca="false">IF(OR(Tasks[[#This Row],[Task Name]]="",Tasks[[#This Row],[_Level]]&lt;=1),0,IFERROR(LOOKUP(2,1/(Tasks[[#Headers],[_Level]]:Tasks[[#This Row],[_Level]]=Tasks[[#This Row],[_Level]]-1),ROW(Tasks[[#Headers],[_Level]]:Tasks[[#This Row],[_Level]])),0))</f>
        <v>0</v>
      </c>
      <c r="BU117" s="41" t="n">
        <f aca="false">IFERROR(N(INDEX(Tasks[_Level],Tasks[[#This Row],[_Row]]+1)),0)</f>
        <v>0</v>
      </c>
      <c r="BV117" s="100" t="b">
        <f aca="false">AND(Tasks[[#This Row],[Task Name]]&lt;&gt;"",Tasks[[#This Row],[_NextLevel]]&gt;Tasks[[#This Row],[_Level]])</f>
        <v>0</v>
      </c>
      <c r="BW117" s="41" t="n">
        <f aca="false">IF(Tasks[[#This Row],[_IsSummary]],COUNTIF(Tasks[WBS],Tasks[[#This Row],[WBS]]&amp;".*"),0)</f>
        <v>0</v>
      </c>
      <c r="BX117" s="41" t="n">
        <f aca="false">IF(AND(Tasks[[#This Row],[Task Name]]&lt;&gt;"",NOT(Tasks[[#This Row],[_IsSummary]])),1,0)</f>
        <v>0</v>
      </c>
      <c r="BY117" s="41" t="n">
        <f aca="false">IF(N(Tasks[[#This Row],[Pred1 UID]])=0,0,IFERROR(MATCH(Tasks[[#This Row],[Pred1 UID]],Tasks[UID],0),-1))</f>
        <v>0</v>
      </c>
      <c r="BZ117" s="41" t="n">
        <f aca="false">IF(N(Tasks[[#This Row],[Pred2 UID]])=0,0,IFERROR(MATCH(Tasks[[#This Row],[Pred2 UID]],Tasks[UID],0),-1))</f>
        <v>0</v>
      </c>
      <c r="CA117" s="41" t="n">
        <f aca="false">IF(N(Tasks[[#This Row],[Pred3 UID]])=0,0,IFERROR(MATCH(Tasks[[#This Row],[Pred3 UID]],Tasks[UID],0),-1))</f>
        <v>0</v>
      </c>
      <c r="CB117" s="41" t="n">
        <f aca="false">IF(N(Tasks[[#This Row],[Pred4 UID]])=0,0,IFERROR(MATCH(Tasks[[#This Row],[Pred4 UID]],Tasks[UID],0),-1))</f>
        <v>0</v>
      </c>
      <c r="CC1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7" s="101" t="n">
        <f aca="false">IF(OR(Tasks[[#This Row],[_ConstraintCode]]=2,Tasks[[#This Row],[_ConstraintCode]]=3,Tasks[[#This Row],[_ConstraintCode]]=4,Tasks[[#This Row],[_ConstraintCode]]=6),Tasks[[#This Row],[_ConstraintStart]],0)</f>
        <v>0</v>
      </c>
      <c r="CF117" s="101" t="n">
        <f aca="false">IF(OR(Tasks[[#This Row],[_ConstraintCode]]=2,Tasks[[#This Row],[_ConstraintCode]]=3,Tasks[[#This Row],[_ConstraintCode]]=5,Tasks[[#This Row],[_ConstraintCode]]=7),Tasks[[#This Row],[_ConstraintStart]],2958465)</f>
        <v>2958465</v>
      </c>
      <c r="CG11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7" s="101" t="str">
        <f aca="false">IF(NOT(Tasks[[#This Row],[_IsLeaf]]=1),"",IF(N(Tasks[[#This Row],[Duration]])&lt;=0,Tasks[[#This Row],[_LeafCalcStart]],WORKDAY.INTL(Tasks[[#This Row],[_LeafCalcStart]],Tasks[[#This Row],[Duration]]-1,WorkWeek,Holidays)))</f>
        <v/>
      </c>
      <c r="CI11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7" s="41" t="n">
        <f aca="false">IF(NOT(Tasks[[#This Row],[_IsLeaf]]=1),0,IF(N(Tasks[[#This Row],[Actual Finish]])&gt;0,1,MIN(1,N(Tasks[[#This Row],[% Complete]]))))</f>
        <v>0</v>
      </c>
      <c r="CL117" s="41" t="n">
        <f aca="false">IF(OR(NOT(Tasks[[#This Row],[_IsLeaf]]=1),Tasks[[#This Row],[Resource]]=""),0,N(Tasks[[#This Row],[Duration]])*HoursPerDay*IF(Tasks[[#This Row],[Units]]="",DefaultUnits,Tasks[[#This Row],[Units]]))</f>
        <v>0</v>
      </c>
      <c r="CM117" s="41" t="n">
        <f aca="false">IF(Tasks[[#This Row],[_LeafWork]]=0,0,Tasks[[#This Row],[_LeafWork]]*IFERROR(INDEX(res_Rate,MATCH(Tasks[[#This Row],[Resource]],res_Name,0)),0))</f>
        <v>0</v>
      </c>
      <c r="CN117" s="41" t="n">
        <f aca="false">Tasks[[#This Row],[_LeafWork]]+IF(Tasks[[#This Row],[_IsLeaf]]=1,SUMIFS(asg_Work,asg_TaskUID,Tasks[[#This Row],[UID]],asg_Valid,1),0)</f>
        <v>0</v>
      </c>
      <c r="CO117" s="41" t="n">
        <f aca="false">Tasks[[#This Row],[_LeafCost]]+IF(Tasks[[#This Row],[_IsLeaf]]=1,SUMIFS(asg_Cost,asg_TaskUID,Tasks[[#This Row],[UID]],asg_Valid,1),0)</f>
        <v>0</v>
      </c>
      <c r="CP117" s="41" t="n">
        <f aca="false">IF(Tasks[[#This Row],[_LeafTotalCost]]=0,Tasks[[#This Row],[_LeafAC]],Tasks[[#This Row],[_LeafAC]]*Tasks[[#This Row],[_LeafCost]]/Tasks[[#This Row],[_LeafTotalCost]])</f>
        <v>0</v>
      </c>
      <c r="CQ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7" s="41" t="n">
        <f aca="false">IF(NOT(Tasks[[#This Row],[_IsLeaf]]=1),0,MAX(_xlfn.MAXIFS(Tasks[_Row],Tasks[Pred1 UID],Tasks[[#This Row],[UID]]),_xlfn.MAXIFS(Tasks[_Row],Tasks[Pred2 UID],Tasks[[#This Row],[UID]]),_xlfn.MAXIFS(Tasks[_Row],Tasks[Pred3 UID],Tasks[[#This Row],[UID]]),_xlfn.MAXIFS(Tasks[_Row],Tasks[Pred4 UID],Tasks[[#This Row],[UID]])))</f>
        <v>0</v>
      </c>
      <c r="CZ1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7" s="101" t="str">
        <f aca="false">IF(NOT(Tasks[[#This Row],[_IsLeaf]]=1),"",IF(N(Tasks[[#This Row],[Duration]])&lt;=0,Tasks[[#This Row],[_LeafLateFinish]],WORKDAY.INTL(Tasks[[#This Row],[_LeafLateFinish]],-(Tasks[[#This Row],[Duration]]-1),WorkWeek,Holidays)))</f>
        <v/>
      </c>
      <c r="DC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7" s="100" t="b">
        <f aca="false">AND(Tasks[[#This Row],[_IsLeaf]]=1,Tasks[[#This Row],[_LeafProgress]]&lt;1,N(Tasks[[#This Row],[_LeafTotalSlack]])&lt;=CriticalSlackDays)</f>
        <v>0</v>
      </c>
      <c r="DE117" s="41" t="n">
        <f aca="false">IF(AND(Tasks[[#This Row],[_IsLeaf]]=1,Tasks[[#This Row],[_ConstraintCode]]=1,Tasks[[#This Row],[Mode]]&lt;&gt;"Manual",N(Tasks[[#This Row],[Actual Start]])=0),MAX(0,N(Tasks[[#This Row],[Free Slack]])),0)</f>
        <v>0</v>
      </c>
      <c r="DF117" s="101" t="str">
        <f aca="false">IF(NOT(Tasks[[#This Row],[_IsLeaf]]=1),"",IF(Tasks[[#This Row],[_AlapShift]]=0,Tasks[[#This Row],[_LeafCalcStart]],WORKDAY.INTL(Tasks[[#This Row],[_LeafCalcStart]],Tasks[[#This Row],[_AlapShift]],WorkWeek,Holidays)))</f>
        <v/>
      </c>
      <c r="DG117" s="101" t="str">
        <f aca="false">IF(NOT(Tasks[[#This Row],[_IsLeaf]]=1),"",IF(Tasks[[#This Row],[_AlapShift]]=0,Tasks[[#This Row],[_LeafCalcFinish]],WORKDAY.INTL(Tasks[[#This Row],[_LeafCalcFinish]],Tasks[[#This Row],[_AlapShift]],WorkWeek,Holidays)))</f>
        <v/>
      </c>
      <c r="DH117" s="101" t="str">
        <f aca="false">IF(NOT(Tasks[[#This Row],[_IsLeaf]]=1),"",IF(Tasks[[#This Row],[_AlapShift]]=0,Tasks[[#This Row],[_LeafFcstStart]],WORKDAY.INTL(Tasks[[#This Row],[_LeafFcstStart]],Tasks[[#This Row],[_AlapShift]],WorkWeek,Holidays)))</f>
        <v/>
      </c>
      <c r="DI117" s="101" t="str">
        <f aca="false">IF(NOT(Tasks[[#This Row],[_IsLeaf]]=1),"",IF(Tasks[[#This Row],[_AlapShift]]=0,Tasks[[#This Row],[_LeafFcstFinish]],WORKDAY.INTL(Tasks[[#This Row],[_LeafFcstFinish]],Tasks[[#This Row],[_AlapShift]],WorkWeek,Holidays)))</f>
        <v/>
      </c>
      <c r="DJ117" s="101" t="str">
        <f aca="false">IF(Tasks[[#This Row],[Task Name]]="","",IF(Tasks[[#This Row],[_IsSummary]],MIN(INDEX(Tasks[_ShownCalcStart],Tasks[[#This Row],[_Row]]+1):INDEX(Tasks[_ShownCalcStart],Tasks[[#This Row],[_Row]]+Tasks[[#This Row],[_Descendants]])),Tasks[[#This Row],[_ShownCalcStart]]))</f>
        <v/>
      </c>
      <c r="DK117" s="101" t="str">
        <f aca="false">IF(Tasks[[#This Row],[Task Name]]="","",IF(Tasks[[#This Row],[_IsSummary]],MAX(INDEX(Tasks[_ShownCalcFinish],Tasks[[#This Row],[_Row]]+1):INDEX(Tasks[_ShownCalcFinish],Tasks[[#This Row],[_Row]]+Tasks[[#This Row],[_Descendants]])),Tasks[[#This Row],[_ShownCalcFinish]]))</f>
        <v/>
      </c>
      <c r="D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7" s="41" t="n">
        <f aca="false">IF(AND(Tasks[[#This Row],[_IsLeaf]]=1,Tasks[[#This Row],[_LeafTotalWork]]&gt;0),NETWORKDAYS.INTL(ProjectStart,Tasks[[#This Row],[_ShownFcstStart]],WorkWeek,Holidays),0)</f>
        <v>0</v>
      </c>
      <c r="DY117" s="41" t="n">
        <f aca="false">IF(AND(Tasks[[#This Row],[_IsLeaf]]=1,Tasks[[#This Row],[_LeafTotalWork]]&gt;0),MAX(Tasks[[#This Row],[_StartWorkday]],NETWORKDAYS.INTL(ProjectStart,Tasks[[#This Row],[_ShownFcstFinish]],WorkWeek,Holidays)),0)</f>
        <v>0</v>
      </c>
      <c r="DZ117" s="41" t="n">
        <f aca="false">IF(AND(Tasks[[#This Row],[_IsLeaf]]=1,Tasks[[#This Row],[_LeafTotalWork]]&gt;0),Tasks[[#This Row],[_LeafWork]]/(Tasks[[#This Row],[_FinishWorkday]]-Tasks[[#This Row],[_StartWorkday]]+1),0)</f>
        <v>0</v>
      </c>
      <c r="EA117" s="41" t="n">
        <f aca="false">Tasks[[#This Row],[_WorkPerWorkday]]*(Tasks[[#This Row],[_StartWorkday]]-1)</f>
        <v>-0</v>
      </c>
      <c r="EB117" s="41" t="n">
        <f aca="false">IF(Tasks[[#This Row],[_IsLeaf]]=1,MAX(N(Tasks[[#This Row],[Duration]]),0.1),0)</f>
        <v>0</v>
      </c>
      <c r="EC117" s="41" t="n">
        <f aca="false">Tasks[[#This Row],[_WeightDur]]*Tasks[[#This Row],[_LeafProgress]]</f>
        <v>0</v>
      </c>
      <c r="ED1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7" s="41" t="str">
        <f aca="false">IF(AND(Tasks[[#This Row],[_IsLeaf]]=1,N(Tasks[[#This Row],[Duration]])=0,Tasks[[#This Row],[_LeafProgress]]&lt;1),Tasks[[#This Row],[_ShownFcstFinish]]+Tasks[[#This Row],[_Row]]/100000,"")</f>
        <v/>
      </c>
      <c r="EF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7" s="41" t="n">
        <f aca="false">IF(NOT(Tasks[[#This Row],[_IsLeaf]]=1),0,IF(Tasks[[#This Row],[Baseline Cost]]="",Tasks[[#This Row],[_LeafTotalCost]],N(Tasks[[#This Row],[Baseline Cost]])))</f>
        <v>0</v>
      </c>
      <c r="EH117" s="41" t="n">
        <f aca="false">Tasks[[#This Row],[_LeafBudget]]*Tasks[[#This Row],[_PlannedPct]]</f>
        <v>0</v>
      </c>
      <c r="EI117" s="41" t="n">
        <f aca="false">Tasks[[#This Row],[_LeafBudget]]*Tasks[[#This Row],[_LeafProgress]]</f>
        <v>0</v>
      </c>
      <c r="EJ117" s="41" t="n">
        <f aca="false">IF(NOT(Tasks[[#This Row],[_IsLeaf]]=1),0,IF(Tasks[[#This Row],[Actual Cost]]="",Tasks[[#This Row],[_LeafTotalCost]]*Tasks[[#This Row],[_LeafProgress]],N(Tasks[[#This Row],[Actual Cost]])))</f>
        <v>0</v>
      </c>
      <c r="EK117" s="41" t="str">
        <f aca="false">IF(Tasks[[#This Row],[Task Name]]="","",LEFT(Tasks[[#This Row],[WBS]],FIND(".",Tasks[[#This Row],[WBS]]&amp;".")-1))</f>
        <v/>
      </c>
      <c r="EL117" s="41" t="str">
        <f aca="false">IF(AND(Tasks[[#This Row],[Task Name]]&lt;&gt;"",Tasks[[#This Row],[_Level]]=1),Tasks[[#This Row],[_Row]],"")</f>
        <v/>
      </c>
      <c r="EM117" s="41" t="str">
        <f aca="false">IF(AND(Tasks[[#This Row],[_IsLeaf]]=1,N(Tasks[[#This Row],[Duration]])=0),Tasks[[#This Row],[Planned Finish]]+Tasks[[#This Row],[_Row]]/100000,"")</f>
        <v/>
      </c>
      <c r="EN117" s="41" t="str">
        <f aca="false">IF(AND(Tasks[[#This Row],[_IsLeaf]]=1,Tasks[[#This Row],[_LeafProgress]]&lt;1,OR(N(Tasks[[#This Row],[Finish Var]])&gt;0,Tasks[[#This Row],[Status]]="Late Start")),MAX(0,Tasks[[#This Row],[Finish Var]])+1-Tasks[[#This Row],[_Row]]/1000000,"")</f>
        <v/>
      </c>
      <c r="EO117" s="41" t="str">
        <f aca="false">IF(AND(Tasks[[#This Row],[_IsLeaf]]=1,N(Tasks[[#This Row],[Actual Start]])=0,Tasks[[#This Row],[_ShownFcstStart]]&gt;=StatusDate,Tasks[[#This Row],[_ShownFcstStart]]&lt;=LookaheadEnd),Tasks[[#This Row],[_ShownFcstStart]]+Tasks[[#This Row],[_Row]]/100000,"")</f>
        <v/>
      </c>
      <c r="EP117" s="41" t="str">
        <f aca="false">IF(AND(Tasks[[#This Row],[_IsLeaf]]=1,Tasks[[#This Row],[_LeafProgress]]&lt;1,Tasks[[#This Row],[_ShownFcstFinish]]&gt;=StatusDate,Tasks[[#This Row],[_ShownFcstFinish]]&lt;=LookaheadEnd),Tasks[[#This Row],[_ShownFcstFinish]]+Tasks[[#This Row],[_Row]]/100000,"")</f>
        <v/>
      </c>
      <c r="EQ117" s="41" t="str">
        <f aca="false">IF(Tasks[[#This Row],[_LeafCritical]],Tasks[[#This Row],[_ShownFcstStart]]+Tasks[[#This Row],[_Row]]/100000,"")</f>
        <v/>
      </c>
      <c r="ER117" s="41" t="n">
        <f aca="false">Tasks[[#This Row],[_LeafWork]]*Tasks[[#This Row],[_LeafProgress]]</f>
        <v>0</v>
      </c>
      <c r="ES117" s="101" t="str">
        <f aca="false">IF(AND(Tasks[[#This Row],[_IsLeaf]]=1,Tasks[[#This Row],[_LeafProgress]]&gt;=1),IF(N(Tasks[[#This Row],[Actual Finish]])&gt;0,Tasks[[#This Row],[Actual Finish]],Tasks[[#This Row],[_ShownFcstFinish]]),"")</f>
        <v/>
      </c>
      <c r="ET117" s="41" t="n">
        <f aca="false">IF(Tasks[[#This Row],[_IsLeaf]]=1,N(Tasks[[#This Row],[Story Points]]),0)</f>
        <v>0</v>
      </c>
      <c r="EU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29"/>
      <c r="O118" s="29"/>
      <c r="P118" s="29"/>
      <c r="Q118" s="29"/>
      <c r="R118" s="29"/>
      <c r="S118" s="29"/>
      <c r="T118" s="30"/>
      <c r="U118" s="75"/>
      <c r="V118" s="75"/>
      <c r="W118" s="25" t="str">
        <f aca="false">IF(Tasks[[#This Row],[Task Name]]="","",IF(N(Tasks[[#This Row],[Baseline Start]])&gt;0,Tasks[[#This Row],[Baseline Start]],Tasks[[#This Row],[_CalcStart]]))</f>
        <v/>
      </c>
      <c r="X118" s="25" t="str">
        <f aca="false">IF(Tasks[[#This Row],[Task Name]]="","",IF(N(Tasks[[#This Row],[Baseline Finish]])&gt;0,Tasks[[#This Row],[Baseline Finish]],Tasks[[#This Row],[_CalcFinish]]))</f>
        <v/>
      </c>
      <c r="Y118" s="75"/>
      <c r="Z118" s="75"/>
      <c r="AA118" s="25" t="str">
        <f aca="false">IF(Tasks[[#This Row],[Task Name]]="","",IF(Tasks[[#This Row],[_IsSummary]],MIN(INDEX(Tasks[_ShownFcstStart],Tasks[[#This Row],[_Row]]+1):INDEX(Tasks[_ShownFcstStart],Tasks[[#This Row],[_Row]]+Tasks[[#This Row],[_Descendants]])),Tasks[[#This Row],[_ShownFcstStart]]))</f>
        <v/>
      </c>
      <c r="AB118" s="25" t="str">
        <f aca="false">IF(Tasks[[#This Row],[Task Name]]="","",IF(Tasks[[#This Row],[_IsSummary]],MAX(INDEX(Tasks[_ShownFcstFinish],Tasks[[#This Row],[_Row]]+1):INDEX(Tasks[_ShownFcstFinish],Tasks[[#This Row],[_Row]]+Tasks[[#This Row],[_Descendants]])),Tasks[[#This Row],[_ShownFcstFinish]]))</f>
        <v/>
      </c>
      <c r="AC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8" s="25" t="str">
        <f aca="false">IF(Tasks[[#This Row],[Task Name]]="","",IF(Tasks[[#This Row],[_IsSummary]],MIN(INDEX(Tasks[_LeafLateStart],Tasks[[#This Row],[_Row]]+1):INDEX(Tasks[_LeafLateStart],Tasks[[#This Row],[_Row]]+Tasks[[#This Row],[_Descendants]])),Tasks[[#This Row],[_LeafLateStart]]))</f>
        <v/>
      </c>
      <c r="AF118" s="25" t="str">
        <f aca="false">IF(Tasks[[#This Row],[Task Name]]="","",IF(Tasks[[#This Row],[_IsSummary]],MAX(INDEX(Tasks[_LeafLateFinish],Tasks[[#This Row],[_Row]]+1):INDEX(Tasks[_LeafLateFinish],Tasks[[#This Row],[_Row]]+Tasks[[#This Row],[_Descendants]])),Tasks[[#This Row],[_LeafLateFinish]]))</f>
        <v/>
      </c>
      <c r="AG118" s="28" t="str">
        <f aca="false">IF(Tasks[[#This Row],[Task Name]]="","",IF(Tasks[[#This Row],[_IsSummary]],MIN(INDEX(Tasks[_LeafTotalSlack],Tasks[[#This Row],[_Row]]+1):INDEX(Tasks[_LeafTotalSlack],Tasks[[#This Row],[_Row]]+Tasks[[#This Row],[_Descendants]])),Tasks[[#This Row],[_LeafTotalSlack]]))</f>
        <v/>
      </c>
      <c r="AH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8" s="28" t="str">
        <f aca="false">IF(Tasks[[#This Row],[Task Name]]="","",IF(IF(Tasks[[#This Row],[_IsSummary]],COUNTIF(INDEX(Tasks[_LeafCritical],Tasks[[#This Row],[_Row]]+1):INDEX(Tasks[_LeafCritical],Tasks[[#This Row],[_Row]]+Tasks[[#This Row],[_Descendants]]),TRUE())&gt;0,Tasks[[#This Row],[_LeafCritical]]),"Yes",""))</f>
        <v/>
      </c>
      <c r="AJ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8" s="89"/>
      <c r="AM1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8" s="28" t="str">
        <f aca="false">IF(Tasks[[#This Row],[Task Name]]="","",IF(Tasks[[#This Row],[Progress]]&gt;=1,"Complete",IF(OR(N(Tasks[[#This Row],[Actual Start]])&gt;0,Tasks[[#This Row],[Progress]]&gt;0),IF(Tasks[[#This Row],[Finish Var]]&gt;0,"Behind","In Progress"),IF(Tasks[[#This Row],[Planned Start]]&lt;StatusDate,"Late Start","Not Started"))))</f>
        <v/>
      </c>
      <c r="AO118" s="30"/>
      <c r="AP118" s="89"/>
      <c r="AQ1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8" s="96" t="str">
        <f aca="false">IF(Tasks[[#This Row],[Task Name]]="","",IF(Tasks[[#This Row],[_IsSummary]],SUM(INDEX(Tasks[_LeafTotalWork],Tasks[[#This Row],[_Row]]+1):INDEX(Tasks[_LeafTotalWork],Tasks[[#This Row],[_Row]]+Tasks[[#This Row],[_Descendants]])),Tasks[[#This Row],[_LeafTotalWork]]))</f>
        <v/>
      </c>
      <c r="AT118" s="97" t="str">
        <f aca="false">IF(Tasks[[#This Row],[Task Name]]="","",IF(Tasks[[#This Row],[_IsSummary]],SUM(INDEX(Tasks[_LeafTotalCost],Tasks[[#This Row],[_Row]]+1):INDEX(Tasks[_LeafTotalCost],Tasks[[#This Row],[_Row]]+Tasks[[#This Row],[_Descendants]])),Tasks[[#This Row],[_LeafTotalCost]]))</f>
        <v/>
      </c>
      <c r="AU118" s="98"/>
      <c r="AV118" s="29"/>
      <c r="AW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8" s="83"/>
      <c r="AY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8" s="30"/>
      <c r="BA118" s="25" t="str">
        <f aca="false">IF(Tasks[[#This Row],[Task Name]]="","",Tasks[[#This Row],[Forecast Start]])</f>
        <v/>
      </c>
      <c r="BB118" s="25" t="str">
        <f aca="false">IF(Tasks[[#This Row],[Task Name]]="","",Tasks[[#This Row],[Forecast Finish]])</f>
        <v/>
      </c>
      <c r="BC118" s="28" t="str">
        <f aca="false">IF(Tasks[[#This Row],[Task Name]]="","",IF(Tasks[[#This Row],[_IsSummary]],NETWORKDAYS.INTL(Tasks[[#This Row],[Forecast Start]],Tasks[[#This Row],[Forecast Finish]],WorkWeek,Holidays),N(Tasks[[#This Row],[Duration]])))</f>
        <v/>
      </c>
      <c r="BD118" s="96" t="str">
        <f aca="false">IF(Tasks[[#This Row],[Task Name]]="","",Tasks[[#This Row],[Work]])</f>
        <v/>
      </c>
      <c r="BE118" s="97" t="str">
        <f aca="false">IF(Tasks[[#This Row],[Task Name]]="","",Tasks[[#This Row],[Cost]])</f>
        <v/>
      </c>
      <c r="BF118" s="75"/>
      <c r="BG118" s="75"/>
      <c r="BH118" s="29"/>
      <c r="BI118" s="99"/>
      <c r="BJ118" s="98"/>
      <c r="BK118" s="28" t="str">
        <f aca="false">IF(OR(Tasks[[#This Row],[Task Name]]="",Tasks[[#This Row],[Baseline Duration]]=""),"",Tasks[[#This Row],[BL Source Duration]]-N(Tasks[[#This Row],[Baseline Duration]]))</f>
        <v/>
      </c>
      <c r="BL118" s="96" t="str">
        <f aca="false">IF(OR(Tasks[[#This Row],[Task Name]]="",Tasks[[#This Row],[Baseline Work]]=""),"",Tasks[[#This Row],[Work]]-N(Tasks[[#This Row],[Baseline Work]]))</f>
        <v/>
      </c>
      <c r="BM118" s="97" t="str">
        <f aca="false">IF(OR(Tasks[[#This Row],[Task Name]]="",Tasks[[#This Row],[Baseline Cost]]=""),"",Tasks[[#This Row],[Cost]]-N(Tasks[[#This Row],[Baseline Cost]]))</f>
        <v/>
      </c>
      <c r="BN118" s="97" t="str">
        <f aca="false">IF(Tasks[[#This Row],[Task Name]]="","",IF(Tasks[[#This Row],[_IsSummary]],SUM(INDEX(Tasks[_LeafBudget],Tasks[[#This Row],[_Row]]+1):INDEX(Tasks[_LeafBudget],Tasks[[#This Row],[_Row]]+Tasks[[#This Row],[_Descendants]])),Tasks[[#This Row],[_LeafBudget]]))</f>
        <v/>
      </c>
      <c r="BO118" s="97" t="str">
        <f aca="false">IF(Tasks[[#This Row],[Task Name]]="","",IF(Tasks[[#This Row],[_IsSummary]],SUM(INDEX(Tasks[_LeafPV],Tasks[[#This Row],[_Row]]+1):INDEX(Tasks[_LeafPV],Tasks[[#This Row],[_Row]]+Tasks[[#This Row],[_Descendants]])),Tasks[[#This Row],[_LeafPV]]))</f>
        <v/>
      </c>
      <c r="BP118" s="97" t="str">
        <f aca="false">IF(Tasks[[#This Row],[Task Name]]="","",IF(Tasks[[#This Row],[_IsSummary]],SUM(INDEX(Tasks[_LeafEV],Tasks[[#This Row],[_Row]]+1):INDEX(Tasks[_LeafEV],Tasks[[#This Row],[_Row]]+Tasks[[#This Row],[_Descendants]])),Tasks[[#This Row],[_LeafEV]]))</f>
        <v/>
      </c>
      <c r="BQ118" s="97" t="str">
        <f aca="false">IF(Tasks[[#This Row],[Task Name]]="","",IF(Tasks[[#This Row],[_IsSummary]],SUM(INDEX(Tasks[_LeafAC],Tasks[[#This Row],[_Row]]+1):INDEX(Tasks[_LeafAC],Tasks[[#This Row],[_Row]]+Tasks[[#This Row],[_Descendants]])),Tasks[[#This Row],[_LeafAC]]))</f>
        <v/>
      </c>
      <c r="BR118" s="41" t="str">
        <f aca="false">IF(Tasks[[#This Row],[Task Name]]="","",MAX(1,N(Tasks[[#This Row],[Level]])))</f>
        <v/>
      </c>
      <c r="BS118" s="41" t="n">
        <f aca="false">ROW()-ROW(Tasks[[#Headers],[ID]])</f>
        <v>113</v>
      </c>
      <c r="BT118" s="41" t="n">
        <f aca="false">IF(OR(Tasks[[#This Row],[Task Name]]="",Tasks[[#This Row],[_Level]]&lt;=1),0,IFERROR(LOOKUP(2,1/(Tasks[[#Headers],[_Level]]:Tasks[[#This Row],[_Level]]=Tasks[[#This Row],[_Level]]-1),ROW(Tasks[[#Headers],[_Level]]:Tasks[[#This Row],[_Level]])),0))</f>
        <v>0</v>
      </c>
      <c r="BU118" s="41" t="n">
        <f aca="false">IFERROR(N(INDEX(Tasks[_Level],Tasks[[#This Row],[_Row]]+1)),0)</f>
        <v>0</v>
      </c>
      <c r="BV118" s="100" t="b">
        <f aca="false">AND(Tasks[[#This Row],[Task Name]]&lt;&gt;"",Tasks[[#This Row],[_NextLevel]]&gt;Tasks[[#This Row],[_Level]])</f>
        <v>0</v>
      </c>
      <c r="BW118" s="41" t="n">
        <f aca="false">IF(Tasks[[#This Row],[_IsSummary]],COUNTIF(Tasks[WBS],Tasks[[#This Row],[WBS]]&amp;".*"),0)</f>
        <v>0</v>
      </c>
      <c r="BX118" s="41" t="n">
        <f aca="false">IF(AND(Tasks[[#This Row],[Task Name]]&lt;&gt;"",NOT(Tasks[[#This Row],[_IsSummary]])),1,0)</f>
        <v>0</v>
      </c>
      <c r="BY118" s="41" t="n">
        <f aca="false">IF(N(Tasks[[#This Row],[Pred1 UID]])=0,0,IFERROR(MATCH(Tasks[[#This Row],[Pred1 UID]],Tasks[UID],0),-1))</f>
        <v>0</v>
      </c>
      <c r="BZ118" s="41" t="n">
        <f aca="false">IF(N(Tasks[[#This Row],[Pred2 UID]])=0,0,IFERROR(MATCH(Tasks[[#This Row],[Pred2 UID]],Tasks[UID],0),-1))</f>
        <v>0</v>
      </c>
      <c r="CA118" s="41" t="n">
        <f aca="false">IF(N(Tasks[[#This Row],[Pred3 UID]])=0,0,IFERROR(MATCH(Tasks[[#This Row],[Pred3 UID]],Tasks[UID],0),-1))</f>
        <v>0</v>
      </c>
      <c r="CB118" s="41" t="n">
        <f aca="false">IF(N(Tasks[[#This Row],[Pred4 UID]])=0,0,IFERROR(MATCH(Tasks[[#This Row],[Pred4 UID]],Tasks[UID],0),-1))</f>
        <v>0</v>
      </c>
      <c r="CC1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8" s="101" t="n">
        <f aca="false">IF(OR(Tasks[[#This Row],[_ConstraintCode]]=2,Tasks[[#This Row],[_ConstraintCode]]=3,Tasks[[#This Row],[_ConstraintCode]]=4,Tasks[[#This Row],[_ConstraintCode]]=6),Tasks[[#This Row],[_ConstraintStart]],0)</f>
        <v>0</v>
      </c>
      <c r="CF118" s="101" t="n">
        <f aca="false">IF(OR(Tasks[[#This Row],[_ConstraintCode]]=2,Tasks[[#This Row],[_ConstraintCode]]=3,Tasks[[#This Row],[_ConstraintCode]]=5,Tasks[[#This Row],[_ConstraintCode]]=7),Tasks[[#This Row],[_ConstraintStart]],2958465)</f>
        <v>2958465</v>
      </c>
      <c r="CG11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8" s="101" t="str">
        <f aca="false">IF(NOT(Tasks[[#This Row],[_IsLeaf]]=1),"",IF(N(Tasks[[#This Row],[Duration]])&lt;=0,Tasks[[#This Row],[_LeafCalcStart]],WORKDAY.INTL(Tasks[[#This Row],[_LeafCalcStart]],Tasks[[#This Row],[Duration]]-1,WorkWeek,Holidays)))</f>
        <v/>
      </c>
      <c r="CI11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8" s="41" t="n">
        <f aca="false">IF(NOT(Tasks[[#This Row],[_IsLeaf]]=1),0,IF(N(Tasks[[#This Row],[Actual Finish]])&gt;0,1,MIN(1,N(Tasks[[#This Row],[% Complete]]))))</f>
        <v>0</v>
      </c>
      <c r="CL118" s="41" t="n">
        <f aca="false">IF(OR(NOT(Tasks[[#This Row],[_IsLeaf]]=1),Tasks[[#This Row],[Resource]]=""),0,N(Tasks[[#This Row],[Duration]])*HoursPerDay*IF(Tasks[[#This Row],[Units]]="",DefaultUnits,Tasks[[#This Row],[Units]]))</f>
        <v>0</v>
      </c>
      <c r="CM118" s="41" t="n">
        <f aca="false">IF(Tasks[[#This Row],[_LeafWork]]=0,0,Tasks[[#This Row],[_LeafWork]]*IFERROR(INDEX(res_Rate,MATCH(Tasks[[#This Row],[Resource]],res_Name,0)),0))</f>
        <v>0</v>
      </c>
      <c r="CN118" s="41" t="n">
        <f aca="false">Tasks[[#This Row],[_LeafWork]]+IF(Tasks[[#This Row],[_IsLeaf]]=1,SUMIFS(asg_Work,asg_TaskUID,Tasks[[#This Row],[UID]],asg_Valid,1),0)</f>
        <v>0</v>
      </c>
      <c r="CO118" s="41" t="n">
        <f aca="false">Tasks[[#This Row],[_LeafCost]]+IF(Tasks[[#This Row],[_IsLeaf]]=1,SUMIFS(asg_Cost,asg_TaskUID,Tasks[[#This Row],[UID]],asg_Valid,1),0)</f>
        <v>0</v>
      </c>
      <c r="CP118" s="41" t="n">
        <f aca="false">IF(Tasks[[#This Row],[_LeafTotalCost]]=0,Tasks[[#This Row],[_LeafAC]],Tasks[[#This Row],[_LeafAC]]*Tasks[[#This Row],[_LeafCost]]/Tasks[[#This Row],[_LeafTotalCost]])</f>
        <v>0</v>
      </c>
      <c r="CQ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8" s="41" t="n">
        <f aca="false">IF(NOT(Tasks[[#This Row],[_IsLeaf]]=1),0,MAX(_xlfn.MAXIFS(Tasks[_Row],Tasks[Pred1 UID],Tasks[[#This Row],[UID]]),_xlfn.MAXIFS(Tasks[_Row],Tasks[Pred2 UID],Tasks[[#This Row],[UID]]),_xlfn.MAXIFS(Tasks[_Row],Tasks[Pred3 UID],Tasks[[#This Row],[UID]]),_xlfn.MAXIFS(Tasks[_Row],Tasks[Pred4 UID],Tasks[[#This Row],[UID]])))</f>
        <v>0</v>
      </c>
      <c r="CZ1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8" s="101" t="str">
        <f aca="false">IF(NOT(Tasks[[#This Row],[_IsLeaf]]=1),"",IF(N(Tasks[[#This Row],[Duration]])&lt;=0,Tasks[[#This Row],[_LeafLateFinish]],WORKDAY.INTL(Tasks[[#This Row],[_LeafLateFinish]],-(Tasks[[#This Row],[Duration]]-1),WorkWeek,Holidays)))</f>
        <v/>
      </c>
      <c r="DC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8" s="100" t="b">
        <f aca="false">AND(Tasks[[#This Row],[_IsLeaf]]=1,Tasks[[#This Row],[_LeafProgress]]&lt;1,N(Tasks[[#This Row],[_LeafTotalSlack]])&lt;=CriticalSlackDays)</f>
        <v>0</v>
      </c>
      <c r="DE118" s="41" t="n">
        <f aca="false">IF(AND(Tasks[[#This Row],[_IsLeaf]]=1,Tasks[[#This Row],[_ConstraintCode]]=1,Tasks[[#This Row],[Mode]]&lt;&gt;"Manual",N(Tasks[[#This Row],[Actual Start]])=0),MAX(0,N(Tasks[[#This Row],[Free Slack]])),0)</f>
        <v>0</v>
      </c>
      <c r="DF118" s="101" t="str">
        <f aca="false">IF(NOT(Tasks[[#This Row],[_IsLeaf]]=1),"",IF(Tasks[[#This Row],[_AlapShift]]=0,Tasks[[#This Row],[_LeafCalcStart]],WORKDAY.INTL(Tasks[[#This Row],[_LeafCalcStart]],Tasks[[#This Row],[_AlapShift]],WorkWeek,Holidays)))</f>
        <v/>
      </c>
      <c r="DG118" s="101" t="str">
        <f aca="false">IF(NOT(Tasks[[#This Row],[_IsLeaf]]=1),"",IF(Tasks[[#This Row],[_AlapShift]]=0,Tasks[[#This Row],[_LeafCalcFinish]],WORKDAY.INTL(Tasks[[#This Row],[_LeafCalcFinish]],Tasks[[#This Row],[_AlapShift]],WorkWeek,Holidays)))</f>
        <v/>
      </c>
      <c r="DH118" s="101" t="str">
        <f aca="false">IF(NOT(Tasks[[#This Row],[_IsLeaf]]=1),"",IF(Tasks[[#This Row],[_AlapShift]]=0,Tasks[[#This Row],[_LeafFcstStart]],WORKDAY.INTL(Tasks[[#This Row],[_LeafFcstStart]],Tasks[[#This Row],[_AlapShift]],WorkWeek,Holidays)))</f>
        <v/>
      </c>
      <c r="DI118" s="101" t="str">
        <f aca="false">IF(NOT(Tasks[[#This Row],[_IsLeaf]]=1),"",IF(Tasks[[#This Row],[_AlapShift]]=0,Tasks[[#This Row],[_LeafFcstFinish]],WORKDAY.INTL(Tasks[[#This Row],[_LeafFcstFinish]],Tasks[[#This Row],[_AlapShift]],WorkWeek,Holidays)))</f>
        <v/>
      </c>
      <c r="DJ118" s="101" t="str">
        <f aca="false">IF(Tasks[[#This Row],[Task Name]]="","",IF(Tasks[[#This Row],[_IsSummary]],MIN(INDEX(Tasks[_ShownCalcStart],Tasks[[#This Row],[_Row]]+1):INDEX(Tasks[_ShownCalcStart],Tasks[[#This Row],[_Row]]+Tasks[[#This Row],[_Descendants]])),Tasks[[#This Row],[_ShownCalcStart]]))</f>
        <v/>
      </c>
      <c r="DK118" s="101" t="str">
        <f aca="false">IF(Tasks[[#This Row],[Task Name]]="","",IF(Tasks[[#This Row],[_IsSummary]],MAX(INDEX(Tasks[_ShownCalcFinish],Tasks[[#This Row],[_Row]]+1):INDEX(Tasks[_ShownCalcFinish],Tasks[[#This Row],[_Row]]+Tasks[[#This Row],[_Descendants]])),Tasks[[#This Row],[_ShownCalcFinish]]))</f>
        <v/>
      </c>
      <c r="D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8" s="41" t="n">
        <f aca="false">IF(AND(Tasks[[#This Row],[_IsLeaf]]=1,Tasks[[#This Row],[_LeafTotalWork]]&gt;0),NETWORKDAYS.INTL(ProjectStart,Tasks[[#This Row],[_ShownFcstStart]],WorkWeek,Holidays),0)</f>
        <v>0</v>
      </c>
      <c r="DY118" s="41" t="n">
        <f aca="false">IF(AND(Tasks[[#This Row],[_IsLeaf]]=1,Tasks[[#This Row],[_LeafTotalWork]]&gt;0),MAX(Tasks[[#This Row],[_StartWorkday]],NETWORKDAYS.INTL(ProjectStart,Tasks[[#This Row],[_ShownFcstFinish]],WorkWeek,Holidays)),0)</f>
        <v>0</v>
      </c>
      <c r="DZ118" s="41" t="n">
        <f aca="false">IF(AND(Tasks[[#This Row],[_IsLeaf]]=1,Tasks[[#This Row],[_LeafTotalWork]]&gt;0),Tasks[[#This Row],[_LeafWork]]/(Tasks[[#This Row],[_FinishWorkday]]-Tasks[[#This Row],[_StartWorkday]]+1),0)</f>
        <v>0</v>
      </c>
      <c r="EA118" s="41" t="n">
        <f aca="false">Tasks[[#This Row],[_WorkPerWorkday]]*(Tasks[[#This Row],[_StartWorkday]]-1)</f>
        <v>-0</v>
      </c>
      <c r="EB118" s="41" t="n">
        <f aca="false">IF(Tasks[[#This Row],[_IsLeaf]]=1,MAX(N(Tasks[[#This Row],[Duration]]),0.1),0)</f>
        <v>0</v>
      </c>
      <c r="EC118" s="41" t="n">
        <f aca="false">Tasks[[#This Row],[_WeightDur]]*Tasks[[#This Row],[_LeafProgress]]</f>
        <v>0</v>
      </c>
      <c r="ED1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8" s="41" t="str">
        <f aca="false">IF(AND(Tasks[[#This Row],[_IsLeaf]]=1,N(Tasks[[#This Row],[Duration]])=0,Tasks[[#This Row],[_LeafProgress]]&lt;1),Tasks[[#This Row],[_ShownFcstFinish]]+Tasks[[#This Row],[_Row]]/100000,"")</f>
        <v/>
      </c>
      <c r="EF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8" s="41" t="n">
        <f aca="false">IF(NOT(Tasks[[#This Row],[_IsLeaf]]=1),0,IF(Tasks[[#This Row],[Baseline Cost]]="",Tasks[[#This Row],[_LeafTotalCost]],N(Tasks[[#This Row],[Baseline Cost]])))</f>
        <v>0</v>
      </c>
      <c r="EH118" s="41" t="n">
        <f aca="false">Tasks[[#This Row],[_LeafBudget]]*Tasks[[#This Row],[_PlannedPct]]</f>
        <v>0</v>
      </c>
      <c r="EI118" s="41" t="n">
        <f aca="false">Tasks[[#This Row],[_LeafBudget]]*Tasks[[#This Row],[_LeafProgress]]</f>
        <v>0</v>
      </c>
      <c r="EJ118" s="41" t="n">
        <f aca="false">IF(NOT(Tasks[[#This Row],[_IsLeaf]]=1),0,IF(Tasks[[#This Row],[Actual Cost]]="",Tasks[[#This Row],[_LeafTotalCost]]*Tasks[[#This Row],[_LeafProgress]],N(Tasks[[#This Row],[Actual Cost]])))</f>
        <v>0</v>
      </c>
      <c r="EK118" s="41" t="str">
        <f aca="false">IF(Tasks[[#This Row],[Task Name]]="","",LEFT(Tasks[[#This Row],[WBS]],FIND(".",Tasks[[#This Row],[WBS]]&amp;".")-1))</f>
        <v/>
      </c>
      <c r="EL118" s="41" t="str">
        <f aca="false">IF(AND(Tasks[[#This Row],[Task Name]]&lt;&gt;"",Tasks[[#This Row],[_Level]]=1),Tasks[[#This Row],[_Row]],"")</f>
        <v/>
      </c>
      <c r="EM118" s="41" t="str">
        <f aca="false">IF(AND(Tasks[[#This Row],[_IsLeaf]]=1,N(Tasks[[#This Row],[Duration]])=0),Tasks[[#This Row],[Planned Finish]]+Tasks[[#This Row],[_Row]]/100000,"")</f>
        <v/>
      </c>
      <c r="EN118" s="41" t="str">
        <f aca="false">IF(AND(Tasks[[#This Row],[_IsLeaf]]=1,Tasks[[#This Row],[_LeafProgress]]&lt;1,OR(N(Tasks[[#This Row],[Finish Var]])&gt;0,Tasks[[#This Row],[Status]]="Late Start")),MAX(0,Tasks[[#This Row],[Finish Var]])+1-Tasks[[#This Row],[_Row]]/1000000,"")</f>
        <v/>
      </c>
      <c r="EO118" s="41" t="str">
        <f aca="false">IF(AND(Tasks[[#This Row],[_IsLeaf]]=1,N(Tasks[[#This Row],[Actual Start]])=0,Tasks[[#This Row],[_ShownFcstStart]]&gt;=StatusDate,Tasks[[#This Row],[_ShownFcstStart]]&lt;=LookaheadEnd),Tasks[[#This Row],[_ShownFcstStart]]+Tasks[[#This Row],[_Row]]/100000,"")</f>
        <v/>
      </c>
      <c r="EP118" s="41" t="str">
        <f aca="false">IF(AND(Tasks[[#This Row],[_IsLeaf]]=1,Tasks[[#This Row],[_LeafProgress]]&lt;1,Tasks[[#This Row],[_ShownFcstFinish]]&gt;=StatusDate,Tasks[[#This Row],[_ShownFcstFinish]]&lt;=LookaheadEnd),Tasks[[#This Row],[_ShownFcstFinish]]+Tasks[[#This Row],[_Row]]/100000,"")</f>
        <v/>
      </c>
      <c r="EQ118" s="41" t="str">
        <f aca="false">IF(Tasks[[#This Row],[_LeafCritical]],Tasks[[#This Row],[_ShownFcstStart]]+Tasks[[#This Row],[_Row]]/100000,"")</f>
        <v/>
      </c>
      <c r="ER118" s="41" t="n">
        <f aca="false">Tasks[[#This Row],[_LeafWork]]*Tasks[[#This Row],[_LeafProgress]]</f>
        <v>0</v>
      </c>
      <c r="ES118" s="101" t="str">
        <f aca="false">IF(AND(Tasks[[#This Row],[_IsLeaf]]=1,Tasks[[#This Row],[_LeafProgress]]&gt;=1),IF(N(Tasks[[#This Row],[Actual Finish]])&gt;0,Tasks[[#This Row],[Actual Finish]],Tasks[[#This Row],[_ShownFcstFinish]]),"")</f>
        <v/>
      </c>
      <c r="ET118" s="41" t="n">
        <f aca="false">IF(Tasks[[#This Row],[_IsLeaf]]=1,N(Tasks[[#This Row],[Story Points]]),0)</f>
        <v>0</v>
      </c>
      <c r="EU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29"/>
      <c r="O119" s="29"/>
      <c r="P119" s="29"/>
      <c r="Q119" s="29"/>
      <c r="R119" s="29"/>
      <c r="S119" s="29"/>
      <c r="T119" s="30"/>
      <c r="U119" s="75"/>
      <c r="V119" s="75"/>
      <c r="W119" s="25" t="str">
        <f aca="false">IF(Tasks[[#This Row],[Task Name]]="","",IF(N(Tasks[[#This Row],[Baseline Start]])&gt;0,Tasks[[#This Row],[Baseline Start]],Tasks[[#This Row],[_CalcStart]]))</f>
        <v/>
      </c>
      <c r="X119" s="25" t="str">
        <f aca="false">IF(Tasks[[#This Row],[Task Name]]="","",IF(N(Tasks[[#This Row],[Baseline Finish]])&gt;0,Tasks[[#This Row],[Baseline Finish]],Tasks[[#This Row],[_CalcFinish]]))</f>
        <v/>
      </c>
      <c r="Y119" s="75"/>
      <c r="Z119" s="75"/>
      <c r="AA119" s="25" t="str">
        <f aca="false">IF(Tasks[[#This Row],[Task Name]]="","",IF(Tasks[[#This Row],[_IsSummary]],MIN(INDEX(Tasks[_ShownFcstStart],Tasks[[#This Row],[_Row]]+1):INDEX(Tasks[_ShownFcstStart],Tasks[[#This Row],[_Row]]+Tasks[[#This Row],[_Descendants]])),Tasks[[#This Row],[_ShownFcstStart]]))</f>
        <v/>
      </c>
      <c r="AB119" s="25" t="str">
        <f aca="false">IF(Tasks[[#This Row],[Task Name]]="","",IF(Tasks[[#This Row],[_IsSummary]],MAX(INDEX(Tasks[_ShownFcstFinish],Tasks[[#This Row],[_Row]]+1):INDEX(Tasks[_ShownFcstFinish],Tasks[[#This Row],[_Row]]+Tasks[[#This Row],[_Descendants]])),Tasks[[#This Row],[_ShownFcstFinish]]))</f>
        <v/>
      </c>
      <c r="AC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9" s="25" t="str">
        <f aca="false">IF(Tasks[[#This Row],[Task Name]]="","",IF(Tasks[[#This Row],[_IsSummary]],MIN(INDEX(Tasks[_LeafLateStart],Tasks[[#This Row],[_Row]]+1):INDEX(Tasks[_LeafLateStart],Tasks[[#This Row],[_Row]]+Tasks[[#This Row],[_Descendants]])),Tasks[[#This Row],[_LeafLateStart]]))</f>
        <v/>
      </c>
      <c r="AF119" s="25" t="str">
        <f aca="false">IF(Tasks[[#This Row],[Task Name]]="","",IF(Tasks[[#This Row],[_IsSummary]],MAX(INDEX(Tasks[_LeafLateFinish],Tasks[[#This Row],[_Row]]+1):INDEX(Tasks[_LeafLateFinish],Tasks[[#This Row],[_Row]]+Tasks[[#This Row],[_Descendants]])),Tasks[[#This Row],[_LeafLateFinish]]))</f>
        <v/>
      </c>
      <c r="AG119" s="28" t="str">
        <f aca="false">IF(Tasks[[#This Row],[Task Name]]="","",IF(Tasks[[#This Row],[_IsSummary]],MIN(INDEX(Tasks[_LeafTotalSlack],Tasks[[#This Row],[_Row]]+1):INDEX(Tasks[_LeafTotalSlack],Tasks[[#This Row],[_Row]]+Tasks[[#This Row],[_Descendants]])),Tasks[[#This Row],[_LeafTotalSlack]]))</f>
        <v/>
      </c>
      <c r="AH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9" s="28" t="str">
        <f aca="false">IF(Tasks[[#This Row],[Task Name]]="","",IF(IF(Tasks[[#This Row],[_IsSummary]],COUNTIF(INDEX(Tasks[_LeafCritical],Tasks[[#This Row],[_Row]]+1):INDEX(Tasks[_LeafCritical],Tasks[[#This Row],[_Row]]+Tasks[[#This Row],[_Descendants]]),TRUE())&gt;0,Tasks[[#This Row],[_LeafCritical]]),"Yes",""))</f>
        <v/>
      </c>
      <c r="AJ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9" s="89"/>
      <c r="AM1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9" s="28" t="str">
        <f aca="false">IF(Tasks[[#This Row],[Task Name]]="","",IF(Tasks[[#This Row],[Progress]]&gt;=1,"Complete",IF(OR(N(Tasks[[#This Row],[Actual Start]])&gt;0,Tasks[[#This Row],[Progress]]&gt;0),IF(Tasks[[#This Row],[Finish Var]]&gt;0,"Behind","In Progress"),IF(Tasks[[#This Row],[Planned Start]]&lt;StatusDate,"Late Start","Not Started"))))</f>
        <v/>
      </c>
      <c r="AO119" s="30"/>
      <c r="AP119" s="89"/>
      <c r="AQ1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9" s="96" t="str">
        <f aca="false">IF(Tasks[[#This Row],[Task Name]]="","",IF(Tasks[[#This Row],[_IsSummary]],SUM(INDEX(Tasks[_LeafTotalWork],Tasks[[#This Row],[_Row]]+1):INDEX(Tasks[_LeafTotalWork],Tasks[[#This Row],[_Row]]+Tasks[[#This Row],[_Descendants]])),Tasks[[#This Row],[_LeafTotalWork]]))</f>
        <v/>
      </c>
      <c r="AT119" s="97" t="str">
        <f aca="false">IF(Tasks[[#This Row],[Task Name]]="","",IF(Tasks[[#This Row],[_IsSummary]],SUM(INDEX(Tasks[_LeafTotalCost],Tasks[[#This Row],[_Row]]+1):INDEX(Tasks[_LeafTotalCost],Tasks[[#This Row],[_Row]]+Tasks[[#This Row],[_Descendants]])),Tasks[[#This Row],[_LeafTotalCost]]))</f>
        <v/>
      </c>
      <c r="AU119" s="98"/>
      <c r="AV119" s="29"/>
      <c r="AW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9" s="83"/>
      <c r="AY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9" s="30"/>
      <c r="BA119" s="25" t="str">
        <f aca="false">IF(Tasks[[#This Row],[Task Name]]="","",Tasks[[#This Row],[Forecast Start]])</f>
        <v/>
      </c>
      <c r="BB119" s="25" t="str">
        <f aca="false">IF(Tasks[[#This Row],[Task Name]]="","",Tasks[[#This Row],[Forecast Finish]])</f>
        <v/>
      </c>
      <c r="BC119" s="28" t="str">
        <f aca="false">IF(Tasks[[#This Row],[Task Name]]="","",IF(Tasks[[#This Row],[_IsSummary]],NETWORKDAYS.INTL(Tasks[[#This Row],[Forecast Start]],Tasks[[#This Row],[Forecast Finish]],WorkWeek,Holidays),N(Tasks[[#This Row],[Duration]])))</f>
        <v/>
      </c>
      <c r="BD119" s="96" t="str">
        <f aca="false">IF(Tasks[[#This Row],[Task Name]]="","",Tasks[[#This Row],[Work]])</f>
        <v/>
      </c>
      <c r="BE119" s="97" t="str">
        <f aca="false">IF(Tasks[[#This Row],[Task Name]]="","",Tasks[[#This Row],[Cost]])</f>
        <v/>
      </c>
      <c r="BF119" s="75"/>
      <c r="BG119" s="75"/>
      <c r="BH119" s="29"/>
      <c r="BI119" s="99"/>
      <c r="BJ119" s="98"/>
      <c r="BK119" s="28" t="str">
        <f aca="false">IF(OR(Tasks[[#This Row],[Task Name]]="",Tasks[[#This Row],[Baseline Duration]]=""),"",Tasks[[#This Row],[BL Source Duration]]-N(Tasks[[#This Row],[Baseline Duration]]))</f>
        <v/>
      </c>
      <c r="BL119" s="96" t="str">
        <f aca="false">IF(OR(Tasks[[#This Row],[Task Name]]="",Tasks[[#This Row],[Baseline Work]]=""),"",Tasks[[#This Row],[Work]]-N(Tasks[[#This Row],[Baseline Work]]))</f>
        <v/>
      </c>
      <c r="BM119" s="97" t="str">
        <f aca="false">IF(OR(Tasks[[#This Row],[Task Name]]="",Tasks[[#This Row],[Baseline Cost]]=""),"",Tasks[[#This Row],[Cost]]-N(Tasks[[#This Row],[Baseline Cost]]))</f>
        <v/>
      </c>
      <c r="BN119" s="97" t="str">
        <f aca="false">IF(Tasks[[#This Row],[Task Name]]="","",IF(Tasks[[#This Row],[_IsSummary]],SUM(INDEX(Tasks[_LeafBudget],Tasks[[#This Row],[_Row]]+1):INDEX(Tasks[_LeafBudget],Tasks[[#This Row],[_Row]]+Tasks[[#This Row],[_Descendants]])),Tasks[[#This Row],[_LeafBudget]]))</f>
        <v/>
      </c>
      <c r="BO119" s="97" t="str">
        <f aca="false">IF(Tasks[[#This Row],[Task Name]]="","",IF(Tasks[[#This Row],[_IsSummary]],SUM(INDEX(Tasks[_LeafPV],Tasks[[#This Row],[_Row]]+1):INDEX(Tasks[_LeafPV],Tasks[[#This Row],[_Row]]+Tasks[[#This Row],[_Descendants]])),Tasks[[#This Row],[_LeafPV]]))</f>
        <v/>
      </c>
      <c r="BP119" s="97" t="str">
        <f aca="false">IF(Tasks[[#This Row],[Task Name]]="","",IF(Tasks[[#This Row],[_IsSummary]],SUM(INDEX(Tasks[_LeafEV],Tasks[[#This Row],[_Row]]+1):INDEX(Tasks[_LeafEV],Tasks[[#This Row],[_Row]]+Tasks[[#This Row],[_Descendants]])),Tasks[[#This Row],[_LeafEV]]))</f>
        <v/>
      </c>
      <c r="BQ119" s="97" t="str">
        <f aca="false">IF(Tasks[[#This Row],[Task Name]]="","",IF(Tasks[[#This Row],[_IsSummary]],SUM(INDEX(Tasks[_LeafAC],Tasks[[#This Row],[_Row]]+1):INDEX(Tasks[_LeafAC],Tasks[[#This Row],[_Row]]+Tasks[[#This Row],[_Descendants]])),Tasks[[#This Row],[_LeafAC]]))</f>
        <v/>
      </c>
      <c r="BR119" s="41" t="str">
        <f aca="false">IF(Tasks[[#This Row],[Task Name]]="","",MAX(1,N(Tasks[[#This Row],[Level]])))</f>
        <v/>
      </c>
      <c r="BS119" s="41" t="n">
        <f aca="false">ROW()-ROW(Tasks[[#Headers],[ID]])</f>
        <v>114</v>
      </c>
      <c r="BT119" s="41" t="n">
        <f aca="false">IF(OR(Tasks[[#This Row],[Task Name]]="",Tasks[[#This Row],[_Level]]&lt;=1),0,IFERROR(LOOKUP(2,1/(Tasks[[#Headers],[_Level]]:Tasks[[#This Row],[_Level]]=Tasks[[#This Row],[_Level]]-1),ROW(Tasks[[#Headers],[_Level]]:Tasks[[#This Row],[_Level]])),0))</f>
        <v>0</v>
      </c>
      <c r="BU119" s="41" t="n">
        <f aca="false">IFERROR(N(INDEX(Tasks[_Level],Tasks[[#This Row],[_Row]]+1)),0)</f>
        <v>0</v>
      </c>
      <c r="BV119" s="100" t="b">
        <f aca="false">AND(Tasks[[#This Row],[Task Name]]&lt;&gt;"",Tasks[[#This Row],[_NextLevel]]&gt;Tasks[[#This Row],[_Level]])</f>
        <v>0</v>
      </c>
      <c r="BW119" s="41" t="n">
        <f aca="false">IF(Tasks[[#This Row],[_IsSummary]],COUNTIF(Tasks[WBS],Tasks[[#This Row],[WBS]]&amp;".*"),0)</f>
        <v>0</v>
      </c>
      <c r="BX119" s="41" t="n">
        <f aca="false">IF(AND(Tasks[[#This Row],[Task Name]]&lt;&gt;"",NOT(Tasks[[#This Row],[_IsSummary]])),1,0)</f>
        <v>0</v>
      </c>
      <c r="BY119" s="41" t="n">
        <f aca="false">IF(N(Tasks[[#This Row],[Pred1 UID]])=0,0,IFERROR(MATCH(Tasks[[#This Row],[Pred1 UID]],Tasks[UID],0),-1))</f>
        <v>0</v>
      </c>
      <c r="BZ119" s="41" t="n">
        <f aca="false">IF(N(Tasks[[#This Row],[Pred2 UID]])=0,0,IFERROR(MATCH(Tasks[[#This Row],[Pred2 UID]],Tasks[UID],0),-1))</f>
        <v>0</v>
      </c>
      <c r="CA119" s="41" t="n">
        <f aca="false">IF(N(Tasks[[#This Row],[Pred3 UID]])=0,0,IFERROR(MATCH(Tasks[[#This Row],[Pred3 UID]],Tasks[UID],0),-1))</f>
        <v>0</v>
      </c>
      <c r="CB119" s="41" t="n">
        <f aca="false">IF(N(Tasks[[#This Row],[Pred4 UID]])=0,0,IFERROR(MATCH(Tasks[[#This Row],[Pred4 UID]],Tasks[UID],0),-1))</f>
        <v>0</v>
      </c>
      <c r="CC1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9" s="101" t="n">
        <f aca="false">IF(OR(Tasks[[#This Row],[_ConstraintCode]]=2,Tasks[[#This Row],[_ConstraintCode]]=3,Tasks[[#This Row],[_ConstraintCode]]=4,Tasks[[#This Row],[_ConstraintCode]]=6),Tasks[[#This Row],[_ConstraintStart]],0)</f>
        <v>0</v>
      </c>
      <c r="CF119" s="101" t="n">
        <f aca="false">IF(OR(Tasks[[#This Row],[_ConstraintCode]]=2,Tasks[[#This Row],[_ConstraintCode]]=3,Tasks[[#This Row],[_ConstraintCode]]=5,Tasks[[#This Row],[_ConstraintCode]]=7),Tasks[[#This Row],[_ConstraintStart]],2958465)</f>
        <v>2958465</v>
      </c>
      <c r="CG11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9" s="101" t="str">
        <f aca="false">IF(NOT(Tasks[[#This Row],[_IsLeaf]]=1),"",IF(N(Tasks[[#This Row],[Duration]])&lt;=0,Tasks[[#This Row],[_LeafCalcStart]],WORKDAY.INTL(Tasks[[#This Row],[_LeafCalcStart]],Tasks[[#This Row],[Duration]]-1,WorkWeek,Holidays)))</f>
        <v/>
      </c>
      <c r="CI11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9" s="41" t="n">
        <f aca="false">IF(NOT(Tasks[[#This Row],[_IsLeaf]]=1),0,IF(N(Tasks[[#This Row],[Actual Finish]])&gt;0,1,MIN(1,N(Tasks[[#This Row],[% Complete]]))))</f>
        <v>0</v>
      </c>
      <c r="CL119" s="41" t="n">
        <f aca="false">IF(OR(NOT(Tasks[[#This Row],[_IsLeaf]]=1),Tasks[[#This Row],[Resource]]=""),0,N(Tasks[[#This Row],[Duration]])*HoursPerDay*IF(Tasks[[#This Row],[Units]]="",DefaultUnits,Tasks[[#This Row],[Units]]))</f>
        <v>0</v>
      </c>
      <c r="CM119" s="41" t="n">
        <f aca="false">IF(Tasks[[#This Row],[_LeafWork]]=0,0,Tasks[[#This Row],[_LeafWork]]*IFERROR(INDEX(res_Rate,MATCH(Tasks[[#This Row],[Resource]],res_Name,0)),0))</f>
        <v>0</v>
      </c>
      <c r="CN119" s="41" t="n">
        <f aca="false">Tasks[[#This Row],[_LeafWork]]+IF(Tasks[[#This Row],[_IsLeaf]]=1,SUMIFS(asg_Work,asg_TaskUID,Tasks[[#This Row],[UID]],asg_Valid,1),0)</f>
        <v>0</v>
      </c>
      <c r="CO119" s="41" t="n">
        <f aca="false">Tasks[[#This Row],[_LeafCost]]+IF(Tasks[[#This Row],[_IsLeaf]]=1,SUMIFS(asg_Cost,asg_TaskUID,Tasks[[#This Row],[UID]],asg_Valid,1),0)</f>
        <v>0</v>
      </c>
      <c r="CP119" s="41" t="n">
        <f aca="false">IF(Tasks[[#This Row],[_LeafTotalCost]]=0,Tasks[[#This Row],[_LeafAC]],Tasks[[#This Row],[_LeafAC]]*Tasks[[#This Row],[_LeafCost]]/Tasks[[#This Row],[_LeafTotalCost]])</f>
        <v>0</v>
      </c>
      <c r="CQ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9" s="41" t="n">
        <f aca="false">IF(NOT(Tasks[[#This Row],[_IsLeaf]]=1),0,MAX(_xlfn.MAXIFS(Tasks[_Row],Tasks[Pred1 UID],Tasks[[#This Row],[UID]]),_xlfn.MAXIFS(Tasks[_Row],Tasks[Pred2 UID],Tasks[[#This Row],[UID]]),_xlfn.MAXIFS(Tasks[_Row],Tasks[Pred3 UID],Tasks[[#This Row],[UID]]),_xlfn.MAXIFS(Tasks[_Row],Tasks[Pred4 UID],Tasks[[#This Row],[UID]])))</f>
        <v>0</v>
      </c>
      <c r="CZ1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9" s="101" t="str">
        <f aca="false">IF(NOT(Tasks[[#This Row],[_IsLeaf]]=1),"",IF(N(Tasks[[#This Row],[Duration]])&lt;=0,Tasks[[#This Row],[_LeafLateFinish]],WORKDAY.INTL(Tasks[[#This Row],[_LeafLateFinish]],-(Tasks[[#This Row],[Duration]]-1),WorkWeek,Holidays)))</f>
        <v/>
      </c>
      <c r="DC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9" s="100" t="b">
        <f aca="false">AND(Tasks[[#This Row],[_IsLeaf]]=1,Tasks[[#This Row],[_LeafProgress]]&lt;1,N(Tasks[[#This Row],[_LeafTotalSlack]])&lt;=CriticalSlackDays)</f>
        <v>0</v>
      </c>
      <c r="DE119" s="41" t="n">
        <f aca="false">IF(AND(Tasks[[#This Row],[_IsLeaf]]=1,Tasks[[#This Row],[_ConstraintCode]]=1,Tasks[[#This Row],[Mode]]&lt;&gt;"Manual",N(Tasks[[#This Row],[Actual Start]])=0),MAX(0,N(Tasks[[#This Row],[Free Slack]])),0)</f>
        <v>0</v>
      </c>
      <c r="DF119" s="101" t="str">
        <f aca="false">IF(NOT(Tasks[[#This Row],[_IsLeaf]]=1),"",IF(Tasks[[#This Row],[_AlapShift]]=0,Tasks[[#This Row],[_LeafCalcStart]],WORKDAY.INTL(Tasks[[#This Row],[_LeafCalcStart]],Tasks[[#This Row],[_AlapShift]],WorkWeek,Holidays)))</f>
        <v/>
      </c>
      <c r="DG119" s="101" t="str">
        <f aca="false">IF(NOT(Tasks[[#This Row],[_IsLeaf]]=1),"",IF(Tasks[[#This Row],[_AlapShift]]=0,Tasks[[#This Row],[_LeafCalcFinish]],WORKDAY.INTL(Tasks[[#This Row],[_LeafCalcFinish]],Tasks[[#This Row],[_AlapShift]],WorkWeek,Holidays)))</f>
        <v/>
      </c>
      <c r="DH119" s="101" t="str">
        <f aca="false">IF(NOT(Tasks[[#This Row],[_IsLeaf]]=1),"",IF(Tasks[[#This Row],[_AlapShift]]=0,Tasks[[#This Row],[_LeafFcstStart]],WORKDAY.INTL(Tasks[[#This Row],[_LeafFcstStart]],Tasks[[#This Row],[_AlapShift]],WorkWeek,Holidays)))</f>
        <v/>
      </c>
      <c r="DI119" s="101" t="str">
        <f aca="false">IF(NOT(Tasks[[#This Row],[_IsLeaf]]=1),"",IF(Tasks[[#This Row],[_AlapShift]]=0,Tasks[[#This Row],[_LeafFcstFinish]],WORKDAY.INTL(Tasks[[#This Row],[_LeafFcstFinish]],Tasks[[#This Row],[_AlapShift]],WorkWeek,Holidays)))</f>
        <v/>
      </c>
      <c r="DJ119" s="101" t="str">
        <f aca="false">IF(Tasks[[#This Row],[Task Name]]="","",IF(Tasks[[#This Row],[_IsSummary]],MIN(INDEX(Tasks[_ShownCalcStart],Tasks[[#This Row],[_Row]]+1):INDEX(Tasks[_ShownCalcStart],Tasks[[#This Row],[_Row]]+Tasks[[#This Row],[_Descendants]])),Tasks[[#This Row],[_ShownCalcStart]]))</f>
        <v/>
      </c>
      <c r="DK119" s="101" t="str">
        <f aca="false">IF(Tasks[[#This Row],[Task Name]]="","",IF(Tasks[[#This Row],[_IsSummary]],MAX(INDEX(Tasks[_ShownCalcFinish],Tasks[[#This Row],[_Row]]+1):INDEX(Tasks[_ShownCalcFinish],Tasks[[#This Row],[_Row]]+Tasks[[#This Row],[_Descendants]])),Tasks[[#This Row],[_ShownCalcFinish]]))</f>
        <v/>
      </c>
      <c r="D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9" s="41" t="n">
        <f aca="false">IF(AND(Tasks[[#This Row],[_IsLeaf]]=1,Tasks[[#This Row],[_LeafTotalWork]]&gt;0),NETWORKDAYS.INTL(ProjectStart,Tasks[[#This Row],[_ShownFcstStart]],WorkWeek,Holidays),0)</f>
        <v>0</v>
      </c>
      <c r="DY119" s="41" t="n">
        <f aca="false">IF(AND(Tasks[[#This Row],[_IsLeaf]]=1,Tasks[[#This Row],[_LeafTotalWork]]&gt;0),MAX(Tasks[[#This Row],[_StartWorkday]],NETWORKDAYS.INTL(ProjectStart,Tasks[[#This Row],[_ShownFcstFinish]],WorkWeek,Holidays)),0)</f>
        <v>0</v>
      </c>
      <c r="DZ119" s="41" t="n">
        <f aca="false">IF(AND(Tasks[[#This Row],[_IsLeaf]]=1,Tasks[[#This Row],[_LeafTotalWork]]&gt;0),Tasks[[#This Row],[_LeafWork]]/(Tasks[[#This Row],[_FinishWorkday]]-Tasks[[#This Row],[_StartWorkday]]+1),0)</f>
        <v>0</v>
      </c>
      <c r="EA119" s="41" t="n">
        <f aca="false">Tasks[[#This Row],[_WorkPerWorkday]]*(Tasks[[#This Row],[_StartWorkday]]-1)</f>
        <v>-0</v>
      </c>
      <c r="EB119" s="41" t="n">
        <f aca="false">IF(Tasks[[#This Row],[_IsLeaf]]=1,MAX(N(Tasks[[#This Row],[Duration]]),0.1),0)</f>
        <v>0</v>
      </c>
      <c r="EC119" s="41" t="n">
        <f aca="false">Tasks[[#This Row],[_WeightDur]]*Tasks[[#This Row],[_LeafProgress]]</f>
        <v>0</v>
      </c>
      <c r="ED1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9" s="41" t="str">
        <f aca="false">IF(AND(Tasks[[#This Row],[_IsLeaf]]=1,N(Tasks[[#This Row],[Duration]])=0,Tasks[[#This Row],[_LeafProgress]]&lt;1),Tasks[[#This Row],[_ShownFcstFinish]]+Tasks[[#This Row],[_Row]]/100000,"")</f>
        <v/>
      </c>
      <c r="EF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9" s="41" t="n">
        <f aca="false">IF(NOT(Tasks[[#This Row],[_IsLeaf]]=1),0,IF(Tasks[[#This Row],[Baseline Cost]]="",Tasks[[#This Row],[_LeafTotalCost]],N(Tasks[[#This Row],[Baseline Cost]])))</f>
        <v>0</v>
      </c>
      <c r="EH119" s="41" t="n">
        <f aca="false">Tasks[[#This Row],[_LeafBudget]]*Tasks[[#This Row],[_PlannedPct]]</f>
        <v>0</v>
      </c>
      <c r="EI119" s="41" t="n">
        <f aca="false">Tasks[[#This Row],[_LeafBudget]]*Tasks[[#This Row],[_LeafProgress]]</f>
        <v>0</v>
      </c>
      <c r="EJ119" s="41" t="n">
        <f aca="false">IF(NOT(Tasks[[#This Row],[_IsLeaf]]=1),0,IF(Tasks[[#This Row],[Actual Cost]]="",Tasks[[#This Row],[_LeafTotalCost]]*Tasks[[#This Row],[_LeafProgress]],N(Tasks[[#This Row],[Actual Cost]])))</f>
        <v>0</v>
      </c>
      <c r="EK119" s="41" t="str">
        <f aca="false">IF(Tasks[[#This Row],[Task Name]]="","",LEFT(Tasks[[#This Row],[WBS]],FIND(".",Tasks[[#This Row],[WBS]]&amp;".")-1))</f>
        <v/>
      </c>
      <c r="EL119" s="41" t="str">
        <f aca="false">IF(AND(Tasks[[#This Row],[Task Name]]&lt;&gt;"",Tasks[[#This Row],[_Level]]=1),Tasks[[#This Row],[_Row]],"")</f>
        <v/>
      </c>
      <c r="EM119" s="41" t="str">
        <f aca="false">IF(AND(Tasks[[#This Row],[_IsLeaf]]=1,N(Tasks[[#This Row],[Duration]])=0),Tasks[[#This Row],[Planned Finish]]+Tasks[[#This Row],[_Row]]/100000,"")</f>
        <v/>
      </c>
      <c r="EN119" s="41" t="str">
        <f aca="false">IF(AND(Tasks[[#This Row],[_IsLeaf]]=1,Tasks[[#This Row],[_LeafProgress]]&lt;1,OR(N(Tasks[[#This Row],[Finish Var]])&gt;0,Tasks[[#This Row],[Status]]="Late Start")),MAX(0,Tasks[[#This Row],[Finish Var]])+1-Tasks[[#This Row],[_Row]]/1000000,"")</f>
        <v/>
      </c>
      <c r="EO119" s="41" t="str">
        <f aca="false">IF(AND(Tasks[[#This Row],[_IsLeaf]]=1,N(Tasks[[#This Row],[Actual Start]])=0,Tasks[[#This Row],[_ShownFcstStart]]&gt;=StatusDate,Tasks[[#This Row],[_ShownFcstStart]]&lt;=LookaheadEnd),Tasks[[#This Row],[_ShownFcstStart]]+Tasks[[#This Row],[_Row]]/100000,"")</f>
        <v/>
      </c>
      <c r="EP119" s="41" t="str">
        <f aca="false">IF(AND(Tasks[[#This Row],[_IsLeaf]]=1,Tasks[[#This Row],[_LeafProgress]]&lt;1,Tasks[[#This Row],[_ShownFcstFinish]]&gt;=StatusDate,Tasks[[#This Row],[_ShownFcstFinish]]&lt;=LookaheadEnd),Tasks[[#This Row],[_ShownFcstFinish]]+Tasks[[#This Row],[_Row]]/100000,"")</f>
        <v/>
      </c>
      <c r="EQ119" s="41" t="str">
        <f aca="false">IF(Tasks[[#This Row],[_LeafCritical]],Tasks[[#This Row],[_ShownFcstStart]]+Tasks[[#This Row],[_Row]]/100000,"")</f>
        <v/>
      </c>
      <c r="ER119" s="41" t="n">
        <f aca="false">Tasks[[#This Row],[_LeafWork]]*Tasks[[#This Row],[_LeafProgress]]</f>
        <v>0</v>
      </c>
      <c r="ES119" s="101" t="str">
        <f aca="false">IF(AND(Tasks[[#This Row],[_IsLeaf]]=1,Tasks[[#This Row],[_LeafProgress]]&gt;=1),IF(N(Tasks[[#This Row],[Actual Finish]])&gt;0,Tasks[[#This Row],[Actual Finish]],Tasks[[#This Row],[_ShownFcstFinish]]),"")</f>
        <v/>
      </c>
      <c r="ET119" s="41" t="n">
        <f aca="false">IF(Tasks[[#This Row],[_IsLeaf]]=1,N(Tasks[[#This Row],[Story Points]]),0)</f>
        <v>0</v>
      </c>
      <c r="EU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29"/>
      <c r="O120" s="29"/>
      <c r="P120" s="29"/>
      <c r="Q120" s="29"/>
      <c r="R120" s="29"/>
      <c r="S120" s="29"/>
      <c r="T120" s="30"/>
      <c r="U120" s="75"/>
      <c r="V120" s="75"/>
      <c r="W120" s="25" t="str">
        <f aca="false">IF(Tasks[[#This Row],[Task Name]]="","",IF(N(Tasks[[#This Row],[Baseline Start]])&gt;0,Tasks[[#This Row],[Baseline Start]],Tasks[[#This Row],[_CalcStart]]))</f>
        <v/>
      </c>
      <c r="X120" s="25" t="str">
        <f aca="false">IF(Tasks[[#This Row],[Task Name]]="","",IF(N(Tasks[[#This Row],[Baseline Finish]])&gt;0,Tasks[[#This Row],[Baseline Finish]],Tasks[[#This Row],[_CalcFinish]]))</f>
        <v/>
      </c>
      <c r="Y120" s="75"/>
      <c r="Z120" s="75"/>
      <c r="AA120" s="25" t="str">
        <f aca="false">IF(Tasks[[#This Row],[Task Name]]="","",IF(Tasks[[#This Row],[_IsSummary]],MIN(INDEX(Tasks[_ShownFcstStart],Tasks[[#This Row],[_Row]]+1):INDEX(Tasks[_ShownFcstStart],Tasks[[#This Row],[_Row]]+Tasks[[#This Row],[_Descendants]])),Tasks[[#This Row],[_ShownFcstStart]]))</f>
        <v/>
      </c>
      <c r="AB120" s="25" t="str">
        <f aca="false">IF(Tasks[[#This Row],[Task Name]]="","",IF(Tasks[[#This Row],[_IsSummary]],MAX(INDEX(Tasks[_ShownFcstFinish],Tasks[[#This Row],[_Row]]+1):INDEX(Tasks[_ShownFcstFinish],Tasks[[#This Row],[_Row]]+Tasks[[#This Row],[_Descendants]])),Tasks[[#This Row],[_ShownFcstFinish]]))</f>
        <v/>
      </c>
      <c r="AC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0" s="25" t="str">
        <f aca="false">IF(Tasks[[#This Row],[Task Name]]="","",IF(Tasks[[#This Row],[_IsSummary]],MIN(INDEX(Tasks[_LeafLateStart],Tasks[[#This Row],[_Row]]+1):INDEX(Tasks[_LeafLateStart],Tasks[[#This Row],[_Row]]+Tasks[[#This Row],[_Descendants]])),Tasks[[#This Row],[_LeafLateStart]]))</f>
        <v/>
      </c>
      <c r="AF120" s="25" t="str">
        <f aca="false">IF(Tasks[[#This Row],[Task Name]]="","",IF(Tasks[[#This Row],[_IsSummary]],MAX(INDEX(Tasks[_LeafLateFinish],Tasks[[#This Row],[_Row]]+1):INDEX(Tasks[_LeafLateFinish],Tasks[[#This Row],[_Row]]+Tasks[[#This Row],[_Descendants]])),Tasks[[#This Row],[_LeafLateFinish]]))</f>
        <v/>
      </c>
      <c r="AG120" s="28" t="str">
        <f aca="false">IF(Tasks[[#This Row],[Task Name]]="","",IF(Tasks[[#This Row],[_IsSummary]],MIN(INDEX(Tasks[_LeafTotalSlack],Tasks[[#This Row],[_Row]]+1):INDEX(Tasks[_LeafTotalSlack],Tasks[[#This Row],[_Row]]+Tasks[[#This Row],[_Descendants]])),Tasks[[#This Row],[_LeafTotalSlack]]))</f>
        <v/>
      </c>
      <c r="AH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0" s="28" t="str">
        <f aca="false">IF(Tasks[[#This Row],[Task Name]]="","",IF(IF(Tasks[[#This Row],[_IsSummary]],COUNTIF(INDEX(Tasks[_LeafCritical],Tasks[[#This Row],[_Row]]+1):INDEX(Tasks[_LeafCritical],Tasks[[#This Row],[_Row]]+Tasks[[#This Row],[_Descendants]]),TRUE())&gt;0,Tasks[[#This Row],[_LeafCritical]]),"Yes",""))</f>
        <v/>
      </c>
      <c r="AJ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0" s="89"/>
      <c r="AM1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0" s="28" t="str">
        <f aca="false">IF(Tasks[[#This Row],[Task Name]]="","",IF(Tasks[[#This Row],[Progress]]&gt;=1,"Complete",IF(OR(N(Tasks[[#This Row],[Actual Start]])&gt;0,Tasks[[#This Row],[Progress]]&gt;0),IF(Tasks[[#This Row],[Finish Var]]&gt;0,"Behind","In Progress"),IF(Tasks[[#This Row],[Planned Start]]&lt;StatusDate,"Late Start","Not Started"))))</f>
        <v/>
      </c>
      <c r="AO120" s="30"/>
      <c r="AP120" s="89"/>
      <c r="AQ1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0" s="96" t="str">
        <f aca="false">IF(Tasks[[#This Row],[Task Name]]="","",IF(Tasks[[#This Row],[_IsSummary]],SUM(INDEX(Tasks[_LeafTotalWork],Tasks[[#This Row],[_Row]]+1):INDEX(Tasks[_LeafTotalWork],Tasks[[#This Row],[_Row]]+Tasks[[#This Row],[_Descendants]])),Tasks[[#This Row],[_LeafTotalWork]]))</f>
        <v/>
      </c>
      <c r="AT120" s="97" t="str">
        <f aca="false">IF(Tasks[[#This Row],[Task Name]]="","",IF(Tasks[[#This Row],[_IsSummary]],SUM(INDEX(Tasks[_LeafTotalCost],Tasks[[#This Row],[_Row]]+1):INDEX(Tasks[_LeafTotalCost],Tasks[[#This Row],[_Row]]+Tasks[[#This Row],[_Descendants]])),Tasks[[#This Row],[_LeafTotalCost]]))</f>
        <v/>
      </c>
      <c r="AU120" s="98"/>
      <c r="AV120" s="29"/>
      <c r="AW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0" s="83"/>
      <c r="AY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0" s="30"/>
      <c r="BA120" s="25" t="str">
        <f aca="false">IF(Tasks[[#This Row],[Task Name]]="","",Tasks[[#This Row],[Forecast Start]])</f>
        <v/>
      </c>
      <c r="BB120" s="25" t="str">
        <f aca="false">IF(Tasks[[#This Row],[Task Name]]="","",Tasks[[#This Row],[Forecast Finish]])</f>
        <v/>
      </c>
      <c r="BC120" s="28" t="str">
        <f aca="false">IF(Tasks[[#This Row],[Task Name]]="","",IF(Tasks[[#This Row],[_IsSummary]],NETWORKDAYS.INTL(Tasks[[#This Row],[Forecast Start]],Tasks[[#This Row],[Forecast Finish]],WorkWeek,Holidays),N(Tasks[[#This Row],[Duration]])))</f>
        <v/>
      </c>
      <c r="BD120" s="96" t="str">
        <f aca="false">IF(Tasks[[#This Row],[Task Name]]="","",Tasks[[#This Row],[Work]])</f>
        <v/>
      </c>
      <c r="BE120" s="97" t="str">
        <f aca="false">IF(Tasks[[#This Row],[Task Name]]="","",Tasks[[#This Row],[Cost]])</f>
        <v/>
      </c>
      <c r="BF120" s="75"/>
      <c r="BG120" s="75"/>
      <c r="BH120" s="29"/>
      <c r="BI120" s="99"/>
      <c r="BJ120" s="98"/>
      <c r="BK120" s="28" t="str">
        <f aca="false">IF(OR(Tasks[[#This Row],[Task Name]]="",Tasks[[#This Row],[Baseline Duration]]=""),"",Tasks[[#This Row],[BL Source Duration]]-N(Tasks[[#This Row],[Baseline Duration]]))</f>
        <v/>
      </c>
      <c r="BL120" s="96" t="str">
        <f aca="false">IF(OR(Tasks[[#This Row],[Task Name]]="",Tasks[[#This Row],[Baseline Work]]=""),"",Tasks[[#This Row],[Work]]-N(Tasks[[#This Row],[Baseline Work]]))</f>
        <v/>
      </c>
      <c r="BM120" s="97" t="str">
        <f aca="false">IF(OR(Tasks[[#This Row],[Task Name]]="",Tasks[[#This Row],[Baseline Cost]]=""),"",Tasks[[#This Row],[Cost]]-N(Tasks[[#This Row],[Baseline Cost]]))</f>
        <v/>
      </c>
      <c r="BN120" s="97" t="str">
        <f aca="false">IF(Tasks[[#This Row],[Task Name]]="","",IF(Tasks[[#This Row],[_IsSummary]],SUM(INDEX(Tasks[_LeafBudget],Tasks[[#This Row],[_Row]]+1):INDEX(Tasks[_LeafBudget],Tasks[[#This Row],[_Row]]+Tasks[[#This Row],[_Descendants]])),Tasks[[#This Row],[_LeafBudget]]))</f>
        <v/>
      </c>
      <c r="BO120" s="97" t="str">
        <f aca="false">IF(Tasks[[#This Row],[Task Name]]="","",IF(Tasks[[#This Row],[_IsSummary]],SUM(INDEX(Tasks[_LeafPV],Tasks[[#This Row],[_Row]]+1):INDEX(Tasks[_LeafPV],Tasks[[#This Row],[_Row]]+Tasks[[#This Row],[_Descendants]])),Tasks[[#This Row],[_LeafPV]]))</f>
        <v/>
      </c>
      <c r="BP120" s="97" t="str">
        <f aca="false">IF(Tasks[[#This Row],[Task Name]]="","",IF(Tasks[[#This Row],[_IsSummary]],SUM(INDEX(Tasks[_LeafEV],Tasks[[#This Row],[_Row]]+1):INDEX(Tasks[_LeafEV],Tasks[[#This Row],[_Row]]+Tasks[[#This Row],[_Descendants]])),Tasks[[#This Row],[_LeafEV]]))</f>
        <v/>
      </c>
      <c r="BQ120" s="97" t="str">
        <f aca="false">IF(Tasks[[#This Row],[Task Name]]="","",IF(Tasks[[#This Row],[_IsSummary]],SUM(INDEX(Tasks[_LeafAC],Tasks[[#This Row],[_Row]]+1):INDEX(Tasks[_LeafAC],Tasks[[#This Row],[_Row]]+Tasks[[#This Row],[_Descendants]])),Tasks[[#This Row],[_LeafAC]]))</f>
        <v/>
      </c>
      <c r="BR120" s="41" t="str">
        <f aca="false">IF(Tasks[[#This Row],[Task Name]]="","",MAX(1,N(Tasks[[#This Row],[Level]])))</f>
        <v/>
      </c>
      <c r="BS120" s="41" t="n">
        <f aca="false">ROW()-ROW(Tasks[[#Headers],[ID]])</f>
        <v>115</v>
      </c>
      <c r="BT120" s="41" t="n">
        <f aca="false">IF(OR(Tasks[[#This Row],[Task Name]]="",Tasks[[#This Row],[_Level]]&lt;=1),0,IFERROR(LOOKUP(2,1/(Tasks[[#Headers],[_Level]]:Tasks[[#This Row],[_Level]]=Tasks[[#This Row],[_Level]]-1),ROW(Tasks[[#Headers],[_Level]]:Tasks[[#This Row],[_Level]])),0))</f>
        <v>0</v>
      </c>
      <c r="BU120" s="41" t="n">
        <f aca="false">IFERROR(N(INDEX(Tasks[_Level],Tasks[[#This Row],[_Row]]+1)),0)</f>
        <v>0</v>
      </c>
      <c r="BV120" s="100" t="b">
        <f aca="false">AND(Tasks[[#This Row],[Task Name]]&lt;&gt;"",Tasks[[#This Row],[_NextLevel]]&gt;Tasks[[#This Row],[_Level]])</f>
        <v>0</v>
      </c>
      <c r="BW120" s="41" t="n">
        <f aca="false">IF(Tasks[[#This Row],[_IsSummary]],COUNTIF(Tasks[WBS],Tasks[[#This Row],[WBS]]&amp;".*"),0)</f>
        <v>0</v>
      </c>
      <c r="BX120" s="41" t="n">
        <f aca="false">IF(AND(Tasks[[#This Row],[Task Name]]&lt;&gt;"",NOT(Tasks[[#This Row],[_IsSummary]])),1,0)</f>
        <v>0</v>
      </c>
      <c r="BY120" s="41" t="n">
        <f aca="false">IF(N(Tasks[[#This Row],[Pred1 UID]])=0,0,IFERROR(MATCH(Tasks[[#This Row],[Pred1 UID]],Tasks[UID],0),-1))</f>
        <v>0</v>
      </c>
      <c r="BZ120" s="41" t="n">
        <f aca="false">IF(N(Tasks[[#This Row],[Pred2 UID]])=0,0,IFERROR(MATCH(Tasks[[#This Row],[Pred2 UID]],Tasks[UID],0),-1))</f>
        <v>0</v>
      </c>
      <c r="CA120" s="41" t="n">
        <f aca="false">IF(N(Tasks[[#This Row],[Pred3 UID]])=0,0,IFERROR(MATCH(Tasks[[#This Row],[Pred3 UID]],Tasks[UID],0),-1))</f>
        <v>0</v>
      </c>
      <c r="CB120" s="41" t="n">
        <f aca="false">IF(N(Tasks[[#This Row],[Pred4 UID]])=0,0,IFERROR(MATCH(Tasks[[#This Row],[Pred4 UID]],Tasks[UID],0),-1))</f>
        <v>0</v>
      </c>
      <c r="CC1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0" s="101" t="n">
        <f aca="false">IF(OR(Tasks[[#This Row],[_ConstraintCode]]=2,Tasks[[#This Row],[_ConstraintCode]]=3,Tasks[[#This Row],[_ConstraintCode]]=4,Tasks[[#This Row],[_ConstraintCode]]=6),Tasks[[#This Row],[_ConstraintStart]],0)</f>
        <v>0</v>
      </c>
      <c r="CF120" s="101" t="n">
        <f aca="false">IF(OR(Tasks[[#This Row],[_ConstraintCode]]=2,Tasks[[#This Row],[_ConstraintCode]]=3,Tasks[[#This Row],[_ConstraintCode]]=5,Tasks[[#This Row],[_ConstraintCode]]=7),Tasks[[#This Row],[_ConstraintStart]],2958465)</f>
        <v>2958465</v>
      </c>
      <c r="CG12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0" s="101" t="str">
        <f aca="false">IF(NOT(Tasks[[#This Row],[_IsLeaf]]=1),"",IF(N(Tasks[[#This Row],[Duration]])&lt;=0,Tasks[[#This Row],[_LeafCalcStart]],WORKDAY.INTL(Tasks[[#This Row],[_LeafCalcStart]],Tasks[[#This Row],[Duration]]-1,WorkWeek,Holidays)))</f>
        <v/>
      </c>
      <c r="CI12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0" s="41" t="n">
        <f aca="false">IF(NOT(Tasks[[#This Row],[_IsLeaf]]=1),0,IF(N(Tasks[[#This Row],[Actual Finish]])&gt;0,1,MIN(1,N(Tasks[[#This Row],[% Complete]]))))</f>
        <v>0</v>
      </c>
      <c r="CL120" s="41" t="n">
        <f aca="false">IF(OR(NOT(Tasks[[#This Row],[_IsLeaf]]=1),Tasks[[#This Row],[Resource]]=""),0,N(Tasks[[#This Row],[Duration]])*HoursPerDay*IF(Tasks[[#This Row],[Units]]="",DefaultUnits,Tasks[[#This Row],[Units]]))</f>
        <v>0</v>
      </c>
      <c r="CM120" s="41" t="n">
        <f aca="false">IF(Tasks[[#This Row],[_LeafWork]]=0,0,Tasks[[#This Row],[_LeafWork]]*IFERROR(INDEX(res_Rate,MATCH(Tasks[[#This Row],[Resource]],res_Name,0)),0))</f>
        <v>0</v>
      </c>
      <c r="CN120" s="41" t="n">
        <f aca="false">Tasks[[#This Row],[_LeafWork]]+IF(Tasks[[#This Row],[_IsLeaf]]=1,SUMIFS(asg_Work,asg_TaskUID,Tasks[[#This Row],[UID]],asg_Valid,1),0)</f>
        <v>0</v>
      </c>
      <c r="CO120" s="41" t="n">
        <f aca="false">Tasks[[#This Row],[_LeafCost]]+IF(Tasks[[#This Row],[_IsLeaf]]=1,SUMIFS(asg_Cost,asg_TaskUID,Tasks[[#This Row],[UID]],asg_Valid,1),0)</f>
        <v>0</v>
      </c>
      <c r="CP120" s="41" t="n">
        <f aca="false">IF(Tasks[[#This Row],[_LeafTotalCost]]=0,Tasks[[#This Row],[_LeafAC]],Tasks[[#This Row],[_LeafAC]]*Tasks[[#This Row],[_LeafCost]]/Tasks[[#This Row],[_LeafTotalCost]])</f>
        <v>0</v>
      </c>
      <c r="CQ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0" s="41" t="n">
        <f aca="false">IF(NOT(Tasks[[#This Row],[_IsLeaf]]=1),0,MAX(_xlfn.MAXIFS(Tasks[_Row],Tasks[Pred1 UID],Tasks[[#This Row],[UID]]),_xlfn.MAXIFS(Tasks[_Row],Tasks[Pred2 UID],Tasks[[#This Row],[UID]]),_xlfn.MAXIFS(Tasks[_Row],Tasks[Pred3 UID],Tasks[[#This Row],[UID]]),_xlfn.MAXIFS(Tasks[_Row],Tasks[Pred4 UID],Tasks[[#This Row],[UID]])))</f>
        <v>0</v>
      </c>
      <c r="CZ1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0" s="101" t="str">
        <f aca="false">IF(NOT(Tasks[[#This Row],[_IsLeaf]]=1),"",IF(N(Tasks[[#This Row],[Duration]])&lt;=0,Tasks[[#This Row],[_LeafLateFinish]],WORKDAY.INTL(Tasks[[#This Row],[_LeafLateFinish]],-(Tasks[[#This Row],[Duration]]-1),WorkWeek,Holidays)))</f>
        <v/>
      </c>
      <c r="DC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0" s="100" t="b">
        <f aca="false">AND(Tasks[[#This Row],[_IsLeaf]]=1,Tasks[[#This Row],[_LeafProgress]]&lt;1,N(Tasks[[#This Row],[_LeafTotalSlack]])&lt;=CriticalSlackDays)</f>
        <v>0</v>
      </c>
      <c r="DE120" s="41" t="n">
        <f aca="false">IF(AND(Tasks[[#This Row],[_IsLeaf]]=1,Tasks[[#This Row],[_ConstraintCode]]=1,Tasks[[#This Row],[Mode]]&lt;&gt;"Manual",N(Tasks[[#This Row],[Actual Start]])=0),MAX(0,N(Tasks[[#This Row],[Free Slack]])),0)</f>
        <v>0</v>
      </c>
      <c r="DF120" s="101" t="str">
        <f aca="false">IF(NOT(Tasks[[#This Row],[_IsLeaf]]=1),"",IF(Tasks[[#This Row],[_AlapShift]]=0,Tasks[[#This Row],[_LeafCalcStart]],WORKDAY.INTL(Tasks[[#This Row],[_LeafCalcStart]],Tasks[[#This Row],[_AlapShift]],WorkWeek,Holidays)))</f>
        <v/>
      </c>
      <c r="DG120" s="101" t="str">
        <f aca="false">IF(NOT(Tasks[[#This Row],[_IsLeaf]]=1),"",IF(Tasks[[#This Row],[_AlapShift]]=0,Tasks[[#This Row],[_LeafCalcFinish]],WORKDAY.INTL(Tasks[[#This Row],[_LeafCalcFinish]],Tasks[[#This Row],[_AlapShift]],WorkWeek,Holidays)))</f>
        <v/>
      </c>
      <c r="DH120" s="101" t="str">
        <f aca="false">IF(NOT(Tasks[[#This Row],[_IsLeaf]]=1),"",IF(Tasks[[#This Row],[_AlapShift]]=0,Tasks[[#This Row],[_LeafFcstStart]],WORKDAY.INTL(Tasks[[#This Row],[_LeafFcstStart]],Tasks[[#This Row],[_AlapShift]],WorkWeek,Holidays)))</f>
        <v/>
      </c>
      <c r="DI120" s="101" t="str">
        <f aca="false">IF(NOT(Tasks[[#This Row],[_IsLeaf]]=1),"",IF(Tasks[[#This Row],[_AlapShift]]=0,Tasks[[#This Row],[_LeafFcstFinish]],WORKDAY.INTL(Tasks[[#This Row],[_LeafFcstFinish]],Tasks[[#This Row],[_AlapShift]],WorkWeek,Holidays)))</f>
        <v/>
      </c>
      <c r="DJ120" s="101" t="str">
        <f aca="false">IF(Tasks[[#This Row],[Task Name]]="","",IF(Tasks[[#This Row],[_IsSummary]],MIN(INDEX(Tasks[_ShownCalcStart],Tasks[[#This Row],[_Row]]+1):INDEX(Tasks[_ShownCalcStart],Tasks[[#This Row],[_Row]]+Tasks[[#This Row],[_Descendants]])),Tasks[[#This Row],[_ShownCalcStart]]))</f>
        <v/>
      </c>
      <c r="DK120" s="101" t="str">
        <f aca="false">IF(Tasks[[#This Row],[Task Name]]="","",IF(Tasks[[#This Row],[_IsSummary]],MAX(INDEX(Tasks[_ShownCalcFinish],Tasks[[#This Row],[_Row]]+1):INDEX(Tasks[_ShownCalcFinish],Tasks[[#This Row],[_Row]]+Tasks[[#This Row],[_Descendants]])),Tasks[[#This Row],[_ShownCalcFinish]]))</f>
        <v/>
      </c>
      <c r="D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0" s="41" t="n">
        <f aca="false">IF(AND(Tasks[[#This Row],[_IsLeaf]]=1,Tasks[[#This Row],[_LeafTotalWork]]&gt;0),NETWORKDAYS.INTL(ProjectStart,Tasks[[#This Row],[_ShownFcstStart]],WorkWeek,Holidays),0)</f>
        <v>0</v>
      </c>
      <c r="DY120" s="41" t="n">
        <f aca="false">IF(AND(Tasks[[#This Row],[_IsLeaf]]=1,Tasks[[#This Row],[_LeafTotalWork]]&gt;0),MAX(Tasks[[#This Row],[_StartWorkday]],NETWORKDAYS.INTL(ProjectStart,Tasks[[#This Row],[_ShownFcstFinish]],WorkWeek,Holidays)),0)</f>
        <v>0</v>
      </c>
      <c r="DZ120" s="41" t="n">
        <f aca="false">IF(AND(Tasks[[#This Row],[_IsLeaf]]=1,Tasks[[#This Row],[_LeafTotalWork]]&gt;0),Tasks[[#This Row],[_LeafWork]]/(Tasks[[#This Row],[_FinishWorkday]]-Tasks[[#This Row],[_StartWorkday]]+1),0)</f>
        <v>0</v>
      </c>
      <c r="EA120" s="41" t="n">
        <f aca="false">Tasks[[#This Row],[_WorkPerWorkday]]*(Tasks[[#This Row],[_StartWorkday]]-1)</f>
        <v>-0</v>
      </c>
      <c r="EB120" s="41" t="n">
        <f aca="false">IF(Tasks[[#This Row],[_IsLeaf]]=1,MAX(N(Tasks[[#This Row],[Duration]]),0.1),0)</f>
        <v>0</v>
      </c>
      <c r="EC120" s="41" t="n">
        <f aca="false">Tasks[[#This Row],[_WeightDur]]*Tasks[[#This Row],[_LeafProgress]]</f>
        <v>0</v>
      </c>
      <c r="ED1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0" s="41" t="str">
        <f aca="false">IF(AND(Tasks[[#This Row],[_IsLeaf]]=1,N(Tasks[[#This Row],[Duration]])=0,Tasks[[#This Row],[_LeafProgress]]&lt;1),Tasks[[#This Row],[_ShownFcstFinish]]+Tasks[[#This Row],[_Row]]/100000,"")</f>
        <v/>
      </c>
      <c r="EF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0" s="41" t="n">
        <f aca="false">IF(NOT(Tasks[[#This Row],[_IsLeaf]]=1),0,IF(Tasks[[#This Row],[Baseline Cost]]="",Tasks[[#This Row],[_LeafTotalCost]],N(Tasks[[#This Row],[Baseline Cost]])))</f>
        <v>0</v>
      </c>
      <c r="EH120" s="41" t="n">
        <f aca="false">Tasks[[#This Row],[_LeafBudget]]*Tasks[[#This Row],[_PlannedPct]]</f>
        <v>0</v>
      </c>
      <c r="EI120" s="41" t="n">
        <f aca="false">Tasks[[#This Row],[_LeafBudget]]*Tasks[[#This Row],[_LeafProgress]]</f>
        <v>0</v>
      </c>
      <c r="EJ120" s="41" t="n">
        <f aca="false">IF(NOT(Tasks[[#This Row],[_IsLeaf]]=1),0,IF(Tasks[[#This Row],[Actual Cost]]="",Tasks[[#This Row],[_LeafTotalCost]]*Tasks[[#This Row],[_LeafProgress]],N(Tasks[[#This Row],[Actual Cost]])))</f>
        <v>0</v>
      </c>
      <c r="EK120" s="41" t="str">
        <f aca="false">IF(Tasks[[#This Row],[Task Name]]="","",LEFT(Tasks[[#This Row],[WBS]],FIND(".",Tasks[[#This Row],[WBS]]&amp;".")-1))</f>
        <v/>
      </c>
      <c r="EL120" s="41" t="str">
        <f aca="false">IF(AND(Tasks[[#This Row],[Task Name]]&lt;&gt;"",Tasks[[#This Row],[_Level]]=1),Tasks[[#This Row],[_Row]],"")</f>
        <v/>
      </c>
      <c r="EM120" s="41" t="str">
        <f aca="false">IF(AND(Tasks[[#This Row],[_IsLeaf]]=1,N(Tasks[[#This Row],[Duration]])=0),Tasks[[#This Row],[Planned Finish]]+Tasks[[#This Row],[_Row]]/100000,"")</f>
        <v/>
      </c>
      <c r="EN120" s="41" t="str">
        <f aca="false">IF(AND(Tasks[[#This Row],[_IsLeaf]]=1,Tasks[[#This Row],[_LeafProgress]]&lt;1,OR(N(Tasks[[#This Row],[Finish Var]])&gt;0,Tasks[[#This Row],[Status]]="Late Start")),MAX(0,Tasks[[#This Row],[Finish Var]])+1-Tasks[[#This Row],[_Row]]/1000000,"")</f>
        <v/>
      </c>
      <c r="EO120" s="41" t="str">
        <f aca="false">IF(AND(Tasks[[#This Row],[_IsLeaf]]=1,N(Tasks[[#This Row],[Actual Start]])=0,Tasks[[#This Row],[_ShownFcstStart]]&gt;=StatusDate,Tasks[[#This Row],[_ShownFcstStart]]&lt;=LookaheadEnd),Tasks[[#This Row],[_ShownFcstStart]]+Tasks[[#This Row],[_Row]]/100000,"")</f>
        <v/>
      </c>
      <c r="EP120" s="41" t="str">
        <f aca="false">IF(AND(Tasks[[#This Row],[_IsLeaf]]=1,Tasks[[#This Row],[_LeafProgress]]&lt;1,Tasks[[#This Row],[_ShownFcstFinish]]&gt;=StatusDate,Tasks[[#This Row],[_ShownFcstFinish]]&lt;=LookaheadEnd),Tasks[[#This Row],[_ShownFcstFinish]]+Tasks[[#This Row],[_Row]]/100000,"")</f>
        <v/>
      </c>
      <c r="EQ120" s="41" t="str">
        <f aca="false">IF(Tasks[[#This Row],[_LeafCritical]],Tasks[[#This Row],[_ShownFcstStart]]+Tasks[[#This Row],[_Row]]/100000,"")</f>
        <v/>
      </c>
      <c r="ER120" s="41" t="n">
        <f aca="false">Tasks[[#This Row],[_LeafWork]]*Tasks[[#This Row],[_LeafProgress]]</f>
        <v>0</v>
      </c>
      <c r="ES120" s="101" t="str">
        <f aca="false">IF(AND(Tasks[[#This Row],[_IsLeaf]]=1,Tasks[[#This Row],[_LeafProgress]]&gt;=1),IF(N(Tasks[[#This Row],[Actual Finish]])&gt;0,Tasks[[#This Row],[Actual Finish]],Tasks[[#This Row],[_ShownFcstFinish]]),"")</f>
        <v/>
      </c>
      <c r="ET120" s="41" t="n">
        <f aca="false">IF(Tasks[[#This Row],[_IsLeaf]]=1,N(Tasks[[#This Row],[Story Points]]),0)</f>
        <v>0</v>
      </c>
      <c r="EU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29"/>
      <c r="O121" s="29"/>
      <c r="P121" s="29"/>
      <c r="Q121" s="29"/>
      <c r="R121" s="29"/>
      <c r="S121" s="29"/>
      <c r="T121" s="30"/>
      <c r="U121" s="75"/>
      <c r="V121" s="75"/>
      <c r="W121" s="25" t="str">
        <f aca="false">IF(Tasks[[#This Row],[Task Name]]="","",IF(N(Tasks[[#This Row],[Baseline Start]])&gt;0,Tasks[[#This Row],[Baseline Start]],Tasks[[#This Row],[_CalcStart]]))</f>
        <v/>
      </c>
      <c r="X121" s="25" t="str">
        <f aca="false">IF(Tasks[[#This Row],[Task Name]]="","",IF(N(Tasks[[#This Row],[Baseline Finish]])&gt;0,Tasks[[#This Row],[Baseline Finish]],Tasks[[#This Row],[_CalcFinish]]))</f>
        <v/>
      </c>
      <c r="Y121" s="75"/>
      <c r="Z121" s="75"/>
      <c r="AA121" s="25" t="str">
        <f aca="false">IF(Tasks[[#This Row],[Task Name]]="","",IF(Tasks[[#This Row],[_IsSummary]],MIN(INDEX(Tasks[_ShownFcstStart],Tasks[[#This Row],[_Row]]+1):INDEX(Tasks[_ShownFcstStart],Tasks[[#This Row],[_Row]]+Tasks[[#This Row],[_Descendants]])),Tasks[[#This Row],[_ShownFcstStart]]))</f>
        <v/>
      </c>
      <c r="AB121" s="25" t="str">
        <f aca="false">IF(Tasks[[#This Row],[Task Name]]="","",IF(Tasks[[#This Row],[_IsSummary]],MAX(INDEX(Tasks[_ShownFcstFinish],Tasks[[#This Row],[_Row]]+1):INDEX(Tasks[_ShownFcstFinish],Tasks[[#This Row],[_Row]]+Tasks[[#This Row],[_Descendants]])),Tasks[[#This Row],[_ShownFcstFinish]]))</f>
        <v/>
      </c>
      <c r="AC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1" s="25" t="str">
        <f aca="false">IF(Tasks[[#This Row],[Task Name]]="","",IF(Tasks[[#This Row],[_IsSummary]],MIN(INDEX(Tasks[_LeafLateStart],Tasks[[#This Row],[_Row]]+1):INDEX(Tasks[_LeafLateStart],Tasks[[#This Row],[_Row]]+Tasks[[#This Row],[_Descendants]])),Tasks[[#This Row],[_LeafLateStart]]))</f>
        <v/>
      </c>
      <c r="AF121" s="25" t="str">
        <f aca="false">IF(Tasks[[#This Row],[Task Name]]="","",IF(Tasks[[#This Row],[_IsSummary]],MAX(INDEX(Tasks[_LeafLateFinish],Tasks[[#This Row],[_Row]]+1):INDEX(Tasks[_LeafLateFinish],Tasks[[#This Row],[_Row]]+Tasks[[#This Row],[_Descendants]])),Tasks[[#This Row],[_LeafLateFinish]]))</f>
        <v/>
      </c>
      <c r="AG121" s="28" t="str">
        <f aca="false">IF(Tasks[[#This Row],[Task Name]]="","",IF(Tasks[[#This Row],[_IsSummary]],MIN(INDEX(Tasks[_LeafTotalSlack],Tasks[[#This Row],[_Row]]+1):INDEX(Tasks[_LeafTotalSlack],Tasks[[#This Row],[_Row]]+Tasks[[#This Row],[_Descendants]])),Tasks[[#This Row],[_LeafTotalSlack]]))</f>
        <v/>
      </c>
      <c r="AH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1" s="28" t="str">
        <f aca="false">IF(Tasks[[#This Row],[Task Name]]="","",IF(IF(Tasks[[#This Row],[_IsSummary]],COUNTIF(INDEX(Tasks[_LeafCritical],Tasks[[#This Row],[_Row]]+1):INDEX(Tasks[_LeafCritical],Tasks[[#This Row],[_Row]]+Tasks[[#This Row],[_Descendants]]),TRUE())&gt;0,Tasks[[#This Row],[_LeafCritical]]),"Yes",""))</f>
        <v/>
      </c>
      <c r="AJ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1" s="89"/>
      <c r="AM1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1" s="28" t="str">
        <f aca="false">IF(Tasks[[#This Row],[Task Name]]="","",IF(Tasks[[#This Row],[Progress]]&gt;=1,"Complete",IF(OR(N(Tasks[[#This Row],[Actual Start]])&gt;0,Tasks[[#This Row],[Progress]]&gt;0),IF(Tasks[[#This Row],[Finish Var]]&gt;0,"Behind","In Progress"),IF(Tasks[[#This Row],[Planned Start]]&lt;StatusDate,"Late Start","Not Started"))))</f>
        <v/>
      </c>
      <c r="AO121" s="30"/>
      <c r="AP121" s="89"/>
      <c r="AQ1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1" s="96" t="str">
        <f aca="false">IF(Tasks[[#This Row],[Task Name]]="","",IF(Tasks[[#This Row],[_IsSummary]],SUM(INDEX(Tasks[_LeafTotalWork],Tasks[[#This Row],[_Row]]+1):INDEX(Tasks[_LeafTotalWork],Tasks[[#This Row],[_Row]]+Tasks[[#This Row],[_Descendants]])),Tasks[[#This Row],[_LeafTotalWork]]))</f>
        <v/>
      </c>
      <c r="AT121" s="97" t="str">
        <f aca="false">IF(Tasks[[#This Row],[Task Name]]="","",IF(Tasks[[#This Row],[_IsSummary]],SUM(INDEX(Tasks[_LeafTotalCost],Tasks[[#This Row],[_Row]]+1):INDEX(Tasks[_LeafTotalCost],Tasks[[#This Row],[_Row]]+Tasks[[#This Row],[_Descendants]])),Tasks[[#This Row],[_LeafTotalCost]]))</f>
        <v/>
      </c>
      <c r="AU121" s="98"/>
      <c r="AV121" s="29"/>
      <c r="AW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1" s="83"/>
      <c r="AY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1" s="30"/>
      <c r="BA121" s="25" t="str">
        <f aca="false">IF(Tasks[[#This Row],[Task Name]]="","",Tasks[[#This Row],[Forecast Start]])</f>
        <v/>
      </c>
      <c r="BB121" s="25" t="str">
        <f aca="false">IF(Tasks[[#This Row],[Task Name]]="","",Tasks[[#This Row],[Forecast Finish]])</f>
        <v/>
      </c>
      <c r="BC121" s="28" t="str">
        <f aca="false">IF(Tasks[[#This Row],[Task Name]]="","",IF(Tasks[[#This Row],[_IsSummary]],NETWORKDAYS.INTL(Tasks[[#This Row],[Forecast Start]],Tasks[[#This Row],[Forecast Finish]],WorkWeek,Holidays),N(Tasks[[#This Row],[Duration]])))</f>
        <v/>
      </c>
      <c r="BD121" s="96" t="str">
        <f aca="false">IF(Tasks[[#This Row],[Task Name]]="","",Tasks[[#This Row],[Work]])</f>
        <v/>
      </c>
      <c r="BE121" s="97" t="str">
        <f aca="false">IF(Tasks[[#This Row],[Task Name]]="","",Tasks[[#This Row],[Cost]])</f>
        <v/>
      </c>
      <c r="BF121" s="75"/>
      <c r="BG121" s="75"/>
      <c r="BH121" s="29"/>
      <c r="BI121" s="99"/>
      <c r="BJ121" s="98"/>
      <c r="BK121" s="28" t="str">
        <f aca="false">IF(OR(Tasks[[#This Row],[Task Name]]="",Tasks[[#This Row],[Baseline Duration]]=""),"",Tasks[[#This Row],[BL Source Duration]]-N(Tasks[[#This Row],[Baseline Duration]]))</f>
        <v/>
      </c>
      <c r="BL121" s="96" t="str">
        <f aca="false">IF(OR(Tasks[[#This Row],[Task Name]]="",Tasks[[#This Row],[Baseline Work]]=""),"",Tasks[[#This Row],[Work]]-N(Tasks[[#This Row],[Baseline Work]]))</f>
        <v/>
      </c>
      <c r="BM121" s="97" t="str">
        <f aca="false">IF(OR(Tasks[[#This Row],[Task Name]]="",Tasks[[#This Row],[Baseline Cost]]=""),"",Tasks[[#This Row],[Cost]]-N(Tasks[[#This Row],[Baseline Cost]]))</f>
        <v/>
      </c>
      <c r="BN121" s="97" t="str">
        <f aca="false">IF(Tasks[[#This Row],[Task Name]]="","",IF(Tasks[[#This Row],[_IsSummary]],SUM(INDEX(Tasks[_LeafBudget],Tasks[[#This Row],[_Row]]+1):INDEX(Tasks[_LeafBudget],Tasks[[#This Row],[_Row]]+Tasks[[#This Row],[_Descendants]])),Tasks[[#This Row],[_LeafBudget]]))</f>
        <v/>
      </c>
      <c r="BO121" s="97" t="str">
        <f aca="false">IF(Tasks[[#This Row],[Task Name]]="","",IF(Tasks[[#This Row],[_IsSummary]],SUM(INDEX(Tasks[_LeafPV],Tasks[[#This Row],[_Row]]+1):INDEX(Tasks[_LeafPV],Tasks[[#This Row],[_Row]]+Tasks[[#This Row],[_Descendants]])),Tasks[[#This Row],[_LeafPV]]))</f>
        <v/>
      </c>
      <c r="BP121" s="97" t="str">
        <f aca="false">IF(Tasks[[#This Row],[Task Name]]="","",IF(Tasks[[#This Row],[_IsSummary]],SUM(INDEX(Tasks[_LeafEV],Tasks[[#This Row],[_Row]]+1):INDEX(Tasks[_LeafEV],Tasks[[#This Row],[_Row]]+Tasks[[#This Row],[_Descendants]])),Tasks[[#This Row],[_LeafEV]]))</f>
        <v/>
      </c>
      <c r="BQ121" s="97" t="str">
        <f aca="false">IF(Tasks[[#This Row],[Task Name]]="","",IF(Tasks[[#This Row],[_IsSummary]],SUM(INDEX(Tasks[_LeafAC],Tasks[[#This Row],[_Row]]+1):INDEX(Tasks[_LeafAC],Tasks[[#This Row],[_Row]]+Tasks[[#This Row],[_Descendants]])),Tasks[[#This Row],[_LeafAC]]))</f>
        <v/>
      </c>
      <c r="BR121" s="41" t="str">
        <f aca="false">IF(Tasks[[#This Row],[Task Name]]="","",MAX(1,N(Tasks[[#This Row],[Level]])))</f>
        <v/>
      </c>
      <c r="BS121" s="41" t="n">
        <f aca="false">ROW()-ROW(Tasks[[#Headers],[ID]])</f>
        <v>116</v>
      </c>
      <c r="BT121" s="41" t="n">
        <f aca="false">IF(OR(Tasks[[#This Row],[Task Name]]="",Tasks[[#This Row],[_Level]]&lt;=1),0,IFERROR(LOOKUP(2,1/(Tasks[[#Headers],[_Level]]:Tasks[[#This Row],[_Level]]=Tasks[[#This Row],[_Level]]-1),ROW(Tasks[[#Headers],[_Level]]:Tasks[[#This Row],[_Level]])),0))</f>
        <v>0</v>
      </c>
      <c r="BU121" s="41" t="n">
        <f aca="false">IFERROR(N(INDEX(Tasks[_Level],Tasks[[#This Row],[_Row]]+1)),0)</f>
        <v>0</v>
      </c>
      <c r="BV121" s="100" t="b">
        <f aca="false">AND(Tasks[[#This Row],[Task Name]]&lt;&gt;"",Tasks[[#This Row],[_NextLevel]]&gt;Tasks[[#This Row],[_Level]])</f>
        <v>0</v>
      </c>
      <c r="BW121" s="41" t="n">
        <f aca="false">IF(Tasks[[#This Row],[_IsSummary]],COUNTIF(Tasks[WBS],Tasks[[#This Row],[WBS]]&amp;".*"),0)</f>
        <v>0</v>
      </c>
      <c r="BX121" s="41" t="n">
        <f aca="false">IF(AND(Tasks[[#This Row],[Task Name]]&lt;&gt;"",NOT(Tasks[[#This Row],[_IsSummary]])),1,0)</f>
        <v>0</v>
      </c>
      <c r="BY121" s="41" t="n">
        <f aca="false">IF(N(Tasks[[#This Row],[Pred1 UID]])=0,0,IFERROR(MATCH(Tasks[[#This Row],[Pred1 UID]],Tasks[UID],0),-1))</f>
        <v>0</v>
      </c>
      <c r="BZ121" s="41" t="n">
        <f aca="false">IF(N(Tasks[[#This Row],[Pred2 UID]])=0,0,IFERROR(MATCH(Tasks[[#This Row],[Pred2 UID]],Tasks[UID],0),-1))</f>
        <v>0</v>
      </c>
      <c r="CA121" s="41" t="n">
        <f aca="false">IF(N(Tasks[[#This Row],[Pred3 UID]])=0,0,IFERROR(MATCH(Tasks[[#This Row],[Pred3 UID]],Tasks[UID],0),-1))</f>
        <v>0</v>
      </c>
      <c r="CB121" s="41" t="n">
        <f aca="false">IF(N(Tasks[[#This Row],[Pred4 UID]])=0,0,IFERROR(MATCH(Tasks[[#This Row],[Pred4 UID]],Tasks[UID],0),-1))</f>
        <v>0</v>
      </c>
      <c r="CC1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1" s="101" t="n">
        <f aca="false">IF(OR(Tasks[[#This Row],[_ConstraintCode]]=2,Tasks[[#This Row],[_ConstraintCode]]=3,Tasks[[#This Row],[_ConstraintCode]]=4,Tasks[[#This Row],[_ConstraintCode]]=6),Tasks[[#This Row],[_ConstraintStart]],0)</f>
        <v>0</v>
      </c>
      <c r="CF121" s="101" t="n">
        <f aca="false">IF(OR(Tasks[[#This Row],[_ConstraintCode]]=2,Tasks[[#This Row],[_ConstraintCode]]=3,Tasks[[#This Row],[_ConstraintCode]]=5,Tasks[[#This Row],[_ConstraintCode]]=7),Tasks[[#This Row],[_ConstraintStart]],2958465)</f>
        <v>2958465</v>
      </c>
      <c r="CG12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1" s="101" t="str">
        <f aca="false">IF(NOT(Tasks[[#This Row],[_IsLeaf]]=1),"",IF(N(Tasks[[#This Row],[Duration]])&lt;=0,Tasks[[#This Row],[_LeafCalcStart]],WORKDAY.INTL(Tasks[[#This Row],[_LeafCalcStart]],Tasks[[#This Row],[Duration]]-1,WorkWeek,Holidays)))</f>
        <v/>
      </c>
      <c r="CI12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1" s="41" t="n">
        <f aca="false">IF(NOT(Tasks[[#This Row],[_IsLeaf]]=1),0,IF(N(Tasks[[#This Row],[Actual Finish]])&gt;0,1,MIN(1,N(Tasks[[#This Row],[% Complete]]))))</f>
        <v>0</v>
      </c>
      <c r="CL121" s="41" t="n">
        <f aca="false">IF(OR(NOT(Tasks[[#This Row],[_IsLeaf]]=1),Tasks[[#This Row],[Resource]]=""),0,N(Tasks[[#This Row],[Duration]])*HoursPerDay*IF(Tasks[[#This Row],[Units]]="",DefaultUnits,Tasks[[#This Row],[Units]]))</f>
        <v>0</v>
      </c>
      <c r="CM121" s="41" t="n">
        <f aca="false">IF(Tasks[[#This Row],[_LeafWork]]=0,0,Tasks[[#This Row],[_LeafWork]]*IFERROR(INDEX(res_Rate,MATCH(Tasks[[#This Row],[Resource]],res_Name,0)),0))</f>
        <v>0</v>
      </c>
      <c r="CN121" s="41" t="n">
        <f aca="false">Tasks[[#This Row],[_LeafWork]]+IF(Tasks[[#This Row],[_IsLeaf]]=1,SUMIFS(asg_Work,asg_TaskUID,Tasks[[#This Row],[UID]],asg_Valid,1),0)</f>
        <v>0</v>
      </c>
      <c r="CO121" s="41" t="n">
        <f aca="false">Tasks[[#This Row],[_LeafCost]]+IF(Tasks[[#This Row],[_IsLeaf]]=1,SUMIFS(asg_Cost,asg_TaskUID,Tasks[[#This Row],[UID]],asg_Valid,1),0)</f>
        <v>0</v>
      </c>
      <c r="CP121" s="41" t="n">
        <f aca="false">IF(Tasks[[#This Row],[_LeafTotalCost]]=0,Tasks[[#This Row],[_LeafAC]],Tasks[[#This Row],[_LeafAC]]*Tasks[[#This Row],[_LeafCost]]/Tasks[[#This Row],[_LeafTotalCost]])</f>
        <v>0</v>
      </c>
      <c r="CQ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1" s="41" t="n">
        <f aca="false">IF(NOT(Tasks[[#This Row],[_IsLeaf]]=1),0,MAX(_xlfn.MAXIFS(Tasks[_Row],Tasks[Pred1 UID],Tasks[[#This Row],[UID]]),_xlfn.MAXIFS(Tasks[_Row],Tasks[Pred2 UID],Tasks[[#This Row],[UID]]),_xlfn.MAXIFS(Tasks[_Row],Tasks[Pred3 UID],Tasks[[#This Row],[UID]]),_xlfn.MAXIFS(Tasks[_Row],Tasks[Pred4 UID],Tasks[[#This Row],[UID]])))</f>
        <v>0</v>
      </c>
      <c r="CZ1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1" s="101" t="str">
        <f aca="false">IF(NOT(Tasks[[#This Row],[_IsLeaf]]=1),"",IF(N(Tasks[[#This Row],[Duration]])&lt;=0,Tasks[[#This Row],[_LeafLateFinish]],WORKDAY.INTL(Tasks[[#This Row],[_LeafLateFinish]],-(Tasks[[#This Row],[Duration]]-1),WorkWeek,Holidays)))</f>
        <v/>
      </c>
      <c r="DC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1" s="100" t="b">
        <f aca="false">AND(Tasks[[#This Row],[_IsLeaf]]=1,Tasks[[#This Row],[_LeafProgress]]&lt;1,N(Tasks[[#This Row],[_LeafTotalSlack]])&lt;=CriticalSlackDays)</f>
        <v>0</v>
      </c>
      <c r="DE121" s="41" t="n">
        <f aca="false">IF(AND(Tasks[[#This Row],[_IsLeaf]]=1,Tasks[[#This Row],[_ConstraintCode]]=1,Tasks[[#This Row],[Mode]]&lt;&gt;"Manual",N(Tasks[[#This Row],[Actual Start]])=0),MAX(0,N(Tasks[[#This Row],[Free Slack]])),0)</f>
        <v>0</v>
      </c>
      <c r="DF121" s="101" t="str">
        <f aca="false">IF(NOT(Tasks[[#This Row],[_IsLeaf]]=1),"",IF(Tasks[[#This Row],[_AlapShift]]=0,Tasks[[#This Row],[_LeafCalcStart]],WORKDAY.INTL(Tasks[[#This Row],[_LeafCalcStart]],Tasks[[#This Row],[_AlapShift]],WorkWeek,Holidays)))</f>
        <v/>
      </c>
      <c r="DG121" s="101" t="str">
        <f aca="false">IF(NOT(Tasks[[#This Row],[_IsLeaf]]=1),"",IF(Tasks[[#This Row],[_AlapShift]]=0,Tasks[[#This Row],[_LeafCalcFinish]],WORKDAY.INTL(Tasks[[#This Row],[_LeafCalcFinish]],Tasks[[#This Row],[_AlapShift]],WorkWeek,Holidays)))</f>
        <v/>
      </c>
      <c r="DH121" s="101" t="str">
        <f aca="false">IF(NOT(Tasks[[#This Row],[_IsLeaf]]=1),"",IF(Tasks[[#This Row],[_AlapShift]]=0,Tasks[[#This Row],[_LeafFcstStart]],WORKDAY.INTL(Tasks[[#This Row],[_LeafFcstStart]],Tasks[[#This Row],[_AlapShift]],WorkWeek,Holidays)))</f>
        <v/>
      </c>
      <c r="DI121" s="101" t="str">
        <f aca="false">IF(NOT(Tasks[[#This Row],[_IsLeaf]]=1),"",IF(Tasks[[#This Row],[_AlapShift]]=0,Tasks[[#This Row],[_LeafFcstFinish]],WORKDAY.INTL(Tasks[[#This Row],[_LeafFcstFinish]],Tasks[[#This Row],[_AlapShift]],WorkWeek,Holidays)))</f>
        <v/>
      </c>
      <c r="DJ121" s="101" t="str">
        <f aca="false">IF(Tasks[[#This Row],[Task Name]]="","",IF(Tasks[[#This Row],[_IsSummary]],MIN(INDEX(Tasks[_ShownCalcStart],Tasks[[#This Row],[_Row]]+1):INDEX(Tasks[_ShownCalcStart],Tasks[[#This Row],[_Row]]+Tasks[[#This Row],[_Descendants]])),Tasks[[#This Row],[_ShownCalcStart]]))</f>
        <v/>
      </c>
      <c r="DK121" s="101" t="str">
        <f aca="false">IF(Tasks[[#This Row],[Task Name]]="","",IF(Tasks[[#This Row],[_IsSummary]],MAX(INDEX(Tasks[_ShownCalcFinish],Tasks[[#This Row],[_Row]]+1):INDEX(Tasks[_ShownCalcFinish],Tasks[[#This Row],[_Row]]+Tasks[[#This Row],[_Descendants]])),Tasks[[#This Row],[_ShownCalcFinish]]))</f>
        <v/>
      </c>
      <c r="D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1" s="41" t="n">
        <f aca="false">IF(AND(Tasks[[#This Row],[_IsLeaf]]=1,Tasks[[#This Row],[_LeafTotalWork]]&gt;0),NETWORKDAYS.INTL(ProjectStart,Tasks[[#This Row],[_ShownFcstStart]],WorkWeek,Holidays),0)</f>
        <v>0</v>
      </c>
      <c r="DY121" s="41" t="n">
        <f aca="false">IF(AND(Tasks[[#This Row],[_IsLeaf]]=1,Tasks[[#This Row],[_LeafTotalWork]]&gt;0),MAX(Tasks[[#This Row],[_StartWorkday]],NETWORKDAYS.INTL(ProjectStart,Tasks[[#This Row],[_ShownFcstFinish]],WorkWeek,Holidays)),0)</f>
        <v>0</v>
      </c>
      <c r="DZ121" s="41" t="n">
        <f aca="false">IF(AND(Tasks[[#This Row],[_IsLeaf]]=1,Tasks[[#This Row],[_LeafTotalWork]]&gt;0),Tasks[[#This Row],[_LeafWork]]/(Tasks[[#This Row],[_FinishWorkday]]-Tasks[[#This Row],[_StartWorkday]]+1),0)</f>
        <v>0</v>
      </c>
      <c r="EA121" s="41" t="n">
        <f aca="false">Tasks[[#This Row],[_WorkPerWorkday]]*(Tasks[[#This Row],[_StartWorkday]]-1)</f>
        <v>-0</v>
      </c>
      <c r="EB121" s="41" t="n">
        <f aca="false">IF(Tasks[[#This Row],[_IsLeaf]]=1,MAX(N(Tasks[[#This Row],[Duration]]),0.1),0)</f>
        <v>0</v>
      </c>
      <c r="EC121" s="41" t="n">
        <f aca="false">Tasks[[#This Row],[_WeightDur]]*Tasks[[#This Row],[_LeafProgress]]</f>
        <v>0</v>
      </c>
      <c r="ED1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1" s="41" t="str">
        <f aca="false">IF(AND(Tasks[[#This Row],[_IsLeaf]]=1,N(Tasks[[#This Row],[Duration]])=0,Tasks[[#This Row],[_LeafProgress]]&lt;1),Tasks[[#This Row],[_ShownFcstFinish]]+Tasks[[#This Row],[_Row]]/100000,"")</f>
        <v/>
      </c>
      <c r="EF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1" s="41" t="n">
        <f aca="false">IF(NOT(Tasks[[#This Row],[_IsLeaf]]=1),0,IF(Tasks[[#This Row],[Baseline Cost]]="",Tasks[[#This Row],[_LeafTotalCost]],N(Tasks[[#This Row],[Baseline Cost]])))</f>
        <v>0</v>
      </c>
      <c r="EH121" s="41" t="n">
        <f aca="false">Tasks[[#This Row],[_LeafBudget]]*Tasks[[#This Row],[_PlannedPct]]</f>
        <v>0</v>
      </c>
      <c r="EI121" s="41" t="n">
        <f aca="false">Tasks[[#This Row],[_LeafBudget]]*Tasks[[#This Row],[_LeafProgress]]</f>
        <v>0</v>
      </c>
      <c r="EJ121" s="41" t="n">
        <f aca="false">IF(NOT(Tasks[[#This Row],[_IsLeaf]]=1),0,IF(Tasks[[#This Row],[Actual Cost]]="",Tasks[[#This Row],[_LeafTotalCost]]*Tasks[[#This Row],[_LeafProgress]],N(Tasks[[#This Row],[Actual Cost]])))</f>
        <v>0</v>
      </c>
      <c r="EK121" s="41" t="str">
        <f aca="false">IF(Tasks[[#This Row],[Task Name]]="","",LEFT(Tasks[[#This Row],[WBS]],FIND(".",Tasks[[#This Row],[WBS]]&amp;".")-1))</f>
        <v/>
      </c>
      <c r="EL121" s="41" t="str">
        <f aca="false">IF(AND(Tasks[[#This Row],[Task Name]]&lt;&gt;"",Tasks[[#This Row],[_Level]]=1),Tasks[[#This Row],[_Row]],"")</f>
        <v/>
      </c>
      <c r="EM121" s="41" t="str">
        <f aca="false">IF(AND(Tasks[[#This Row],[_IsLeaf]]=1,N(Tasks[[#This Row],[Duration]])=0),Tasks[[#This Row],[Planned Finish]]+Tasks[[#This Row],[_Row]]/100000,"")</f>
        <v/>
      </c>
      <c r="EN121" s="41" t="str">
        <f aca="false">IF(AND(Tasks[[#This Row],[_IsLeaf]]=1,Tasks[[#This Row],[_LeafProgress]]&lt;1,OR(N(Tasks[[#This Row],[Finish Var]])&gt;0,Tasks[[#This Row],[Status]]="Late Start")),MAX(0,Tasks[[#This Row],[Finish Var]])+1-Tasks[[#This Row],[_Row]]/1000000,"")</f>
        <v/>
      </c>
      <c r="EO121" s="41" t="str">
        <f aca="false">IF(AND(Tasks[[#This Row],[_IsLeaf]]=1,N(Tasks[[#This Row],[Actual Start]])=0,Tasks[[#This Row],[_ShownFcstStart]]&gt;=StatusDate,Tasks[[#This Row],[_ShownFcstStart]]&lt;=LookaheadEnd),Tasks[[#This Row],[_ShownFcstStart]]+Tasks[[#This Row],[_Row]]/100000,"")</f>
        <v/>
      </c>
      <c r="EP121" s="41" t="str">
        <f aca="false">IF(AND(Tasks[[#This Row],[_IsLeaf]]=1,Tasks[[#This Row],[_LeafProgress]]&lt;1,Tasks[[#This Row],[_ShownFcstFinish]]&gt;=StatusDate,Tasks[[#This Row],[_ShownFcstFinish]]&lt;=LookaheadEnd),Tasks[[#This Row],[_ShownFcstFinish]]+Tasks[[#This Row],[_Row]]/100000,"")</f>
        <v/>
      </c>
      <c r="EQ121" s="41" t="str">
        <f aca="false">IF(Tasks[[#This Row],[_LeafCritical]],Tasks[[#This Row],[_ShownFcstStart]]+Tasks[[#This Row],[_Row]]/100000,"")</f>
        <v/>
      </c>
      <c r="ER121" s="41" t="n">
        <f aca="false">Tasks[[#This Row],[_LeafWork]]*Tasks[[#This Row],[_LeafProgress]]</f>
        <v>0</v>
      </c>
      <c r="ES121" s="101" t="str">
        <f aca="false">IF(AND(Tasks[[#This Row],[_IsLeaf]]=1,Tasks[[#This Row],[_LeafProgress]]&gt;=1),IF(N(Tasks[[#This Row],[Actual Finish]])&gt;0,Tasks[[#This Row],[Actual Finish]],Tasks[[#This Row],[_ShownFcstFinish]]),"")</f>
        <v/>
      </c>
      <c r="ET121" s="41" t="n">
        <f aca="false">IF(Tasks[[#This Row],[_IsLeaf]]=1,N(Tasks[[#This Row],[Story Points]]),0)</f>
        <v>0</v>
      </c>
      <c r="EU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29"/>
      <c r="O122" s="29"/>
      <c r="P122" s="29"/>
      <c r="Q122" s="29"/>
      <c r="R122" s="29"/>
      <c r="S122" s="29"/>
      <c r="T122" s="30"/>
      <c r="U122" s="75"/>
      <c r="V122" s="75"/>
      <c r="W122" s="25" t="str">
        <f aca="false">IF(Tasks[[#This Row],[Task Name]]="","",IF(N(Tasks[[#This Row],[Baseline Start]])&gt;0,Tasks[[#This Row],[Baseline Start]],Tasks[[#This Row],[_CalcStart]]))</f>
        <v/>
      </c>
      <c r="X122" s="25" t="str">
        <f aca="false">IF(Tasks[[#This Row],[Task Name]]="","",IF(N(Tasks[[#This Row],[Baseline Finish]])&gt;0,Tasks[[#This Row],[Baseline Finish]],Tasks[[#This Row],[_CalcFinish]]))</f>
        <v/>
      </c>
      <c r="Y122" s="75"/>
      <c r="Z122" s="75"/>
      <c r="AA122" s="25" t="str">
        <f aca="false">IF(Tasks[[#This Row],[Task Name]]="","",IF(Tasks[[#This Row],[_IsSummary]],MIN(INDEX(Tasks[_ShownFcstStart],Tasks[[#This Row],[_Row]]+1):INDEX(Tasks[_ShownFcstStart],Tasks[[#This Row],[_Row]]+Tasks[[#This Row],[_Descendants]])),Tasks[[#This Row],[_ShownFcstStart]]))</f>
        <v/>
      </c>
      <c r="AB122" s="25" t="str">
        <f aca="false">IF(Tasks[[#This Row],[Task Name]]="","",IF(Tasks[[#This Row],[_IsSummary]],MAX(INDEX(Tasks[_ShownFcstFinish],Tasks[[#This Row],[_Row]]+1):INDEX(Tasks[_ShownFcstFinish],Tasks[[#This Row],[_Row]]+Tasks[[#This Row],[_Descendants]])),Tasks[[#This Row],[_ShownFcstFinish]]))</f>
        <v/>
      </c>
      <c r="AC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2" s="25" t="str">
        <f aca="false">IF(Tasks[[#This Row],[Task Name]]="","",IF(Tasks[[#This Row],[_IsSummary]],MIN(INDEX(Tasks[_LeafLateStart],Tasks[[#This Row],[_Row]]+1):INDEX(Tasks[_LeafLateStart],Tasks[[#This Row],[_Row]]+Tasks[[#This Row],[_Descendants]])),Tasks[[#This Row],[_LeafLateStart]]))</f>
        <v/>
      </c>
      <c r="AF122" s="25" t="str">
        <f aca="false">IF(Tasks[[#This Row],[Task Name]]="","",IF(Tasks[[#This Row],[_IsSummary]],MAX(INDEX(Tasks[_LeafLateFinish],Tasks[[#This Row],[_Row]]+1):INDEX(Tasks[_LeafLateFinish],Tasks[[#This Row],[_Row]]+Tasks[[#This Row],[_Descendants]])),Tasks[[#This Row],[_LeafLateFinish]]))</f>
        <v/>
      </c>
      <c r="AG122" s="28" t="str">
        <f aca="false">IF(Tasks[[#This Row],[Task Name]]="","",IF(Tasks[[#This Row],[_IsSummary]],MIN(INDEX(Tasks[_LeafTotalSlack],Tasks[[#This Row],[_Row]]+1):INDEX(Tasks[_LeafTotalSlack],Tasks[[#This Row],[_Row]]+Tasks[[#This Row],[_Descendants]])),Tasks[[#This Row],[_LeafTotalSlack]]))</f>
        <v/>
      </c>
      <c r="AH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2" s="28" t="str">
        <f aca="false">IF(Tasks[[#This Row],[Task Name]]="","",IF(IF(Tasks[[#This Row],[_IsSummary]],COUNTIF(INDEX(Tasks[_LeafCritical],Tasks[[#This Row],[_Row]]+1):INDEX(Tasks[_LeafCritical],Tasks[[#This Row],[_Row]]+Tasks[[#This Row],[_Descendants]]),TRUE())&gt;0,Tasks[[#This Row],[_LeafCritical]]),"Yes",""))</f>
        <v/>
      </c>
      <c r="AJ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2" s="89"/>
      <c r="AM1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2" s="28" t="str">
        <f aca="false">IF(Tasks[[#This Row],[Task Name]]="","",IF(Tasks[[#This Row],[Progress]]&gt;=1,"Complete",IF(OR(N(Tasks[[#This Row],[Actual Start]])&gt;0,Tasks[[#This Row],[Progress]]&gt;0),IF(Tasks[[#This Row],[Finish Var]]&gt;0,"Behind","In Progress"),IF(Tasks[[#This Row],[Planned Start]]&lt;StatusDate,"Late Start","Not Started"))))</f>
        <v/>
      </c>
      <c r="AO122" s="30"/>
      <c r="AP122" s="89"/>
      <c r="AQ1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2" s="96" t="str">
        <f aca="false">IF(Tasks[[#This Row],[Task Name]]="","",IF(Tasks[[#This Row],[_IsSummary]],SUM(INDEX(Tasks[_LeafTotalWork],Tasks[[#This Row],[_Row]]+1):INDEX(Tasks[_LeafTotalWork],Tasks[[#This Row],[_Row]]+Tasks[[#This Row],[_Descendants]])),Tasks[[#This Row],[_LeafTotalWork]]))</f>
        <v/>
      </c>
      <c r="AT122" s="97" t="str">
        <f aca="false">IF(Tasks[[#This Row],[Task Name]]="","",IF(Tasks[[#This Row],[_IsSummary]],SUM(INDEX(Tasks[_LeafTotalCost],Tasks[[#This Row],[_Row]]+1):INDEX(Tasks[_LeafTotalCost],Tasks[[#This Row],[_Row]]+Tasks[[#This Row],[_Descendants]])),Tasks[[#This Row],[_LeafTotalCost]]))</f>
        <v/>
      </c>
      <c r="AU122" s="98"/>
      <c r="AV122" s="29"/>
      <c r="AW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2" s="83"/>
      <c r="AY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2" s="30"/>
      <c r="BA122" s="25" t="str">
        <f aca="false">IF(Tasks[[#This Row],[Task Name]]="","",Tasks[[#This Row],[Forecast Start]])</f>
        <v/>
      </c>
      <c r="BB122" s="25" t="str">
        <f aca="false">IF(Tasks[[#This Row],[Task Name]]="","",Tasks[[#This Row],[Forecast Finish]])</f>
        <v/>
      </c>
      <c r="BC122" s="28" t="str">
        <f aca="false">IF(Tasks[[#This Row],[Task Name]]="","",IF(Tasks[[#This Row],[_IsSummary]],NETWORKDAYS.INTL(Tasks[[#This Row],[Forecast Start]],Tasks[[#This Row],[Forecast Finish]],WorkWeek,Holidays),N(Tasks[[#This Row],[Duration]])))</f>
        <v/>
      </c>
      <c r="BD122" s="96" t="str">
        <f aca="false">IF(Tasks[[#This Row],[Task Name]]="","",Tasks[[#This Row],[Work]])</f>
        <v/>
      </c>
      <c r="BE122" s="97" t="str">
        <f aca="false">IF(Tasks[[#This Row],[Task Name]]="","",Tasks[[#This Row],[Cost]])</f>
        <v/>
      </c>
      <c r="BF122" s="75"/>
      <c r="BG122" s="75"/>
      <c r="BH122" s="29"/>
      <c r="BI122" s="99"/>
      <c r="BJ122" s="98"/>
      <c r="BK122" s="28" t="str">
        <f aca="false">IF(OR(Tasks[[#This Row],[Task Name]]="",Tasks[[#This Row],[Baseline Duration]]=""),"",Tasks[[#This Row],[BL Source Duration]]-N(Tasks[[#This Row],[Baseline Duration]]))</f>
        <v/>
      </c>
      <c r="BL122" s="96" t="str">
        <f aca="false">IF(OR(Tasks[[#This Row],[Task Name]]="",Tasks[[#This Row],[Baseline Work]]=""),"",Tasks[[#This Row],[Work]]-N(Tasks[[#This Row],[Baseline Work]]))</f>
        <v/>
      </c>
      <c r="BM122" s="97" t="str">
        <f aca="false">IF(OR(Tasks[[#This Row],[Task Name]]="",Tasks[[#This Row],[Baseline Cost]]=""),"",Tasks[[#This Row],[Cost]]-N(Tasks[[#This Row],[Baseline Cost]]))</f>
        <v/>
      </c>
      <c r="BN122" s="97" t="str">
        <f aca="false">IF(Tasks[[#This Row],[Task Name]]="","",IF(Tasks[[#This Row],[_IsSummary]],SUM(INDEX(Tasks[_LeafBudget],Tasks[[#This Row],[_Row]]+1):INDEX(Tasks[_LeafBudget],Tasks[[#This Row],[_Row]]+Tasks[[#This Row],[_Descendants]])),Tasks[[#This Row],[_LeafBudget]]))</f>
        <v/>
      </c>
      <c r="BO122" s="97" t="str">
        <f aca="false">IF(Tasks[[#This Row],[Task Name]]="","",IF(Tasks[[#This Row],[_IsSummary]],SUM(INDEX(Tasks[_LeafPV],Tasks[[#This Row],[_Row]]+1):INDEX(Tasks[_LeafPV],Tasks[[#This Row],[_Row]]+Tasks[[#This Row],[_Descendants]])),Tasks[[#This Row],[_LeafPV]]))</f>
        <v/>
      </c>
      <c r="BP122" s="97" t="str">
        <f aca="false">IF(Tasks[[#This Row],[Task Name]]="","",IF(Tasks[[#This Row],[_IsSummary]],SUM(INDEX(Tasks[_LeafEV],Tasks[[#This Row],[_Row]]+1):INDEX(Tasks[_LeafEV],Tasks[[#This Row],[_Row]]+Tasks[[#This Row],[_Descendants]])),Tasks[[#This Row],[_LeafEV]]))</f>
        <v/>
      </c>
      <c r="BQ122" s="97" t="str">
        <f aca="false">IF(Tasks[[#This Row],[Task Name]]="","",IF(Tasks[[#This Row],[_IsSummary]],SUM(INDEX(Tasks[_LeafAC],Tasks[[#This Row],[_Row]]+1):INDEX(Tasks[_LeafAC],Tasks[[#This Row],[_Row]]+Tasks[[#This Row],[_Descendants]])),Tasks[[#This Row],[_LeafAC]]))</f>
        <v/>
      </c>
      <c r="BR122" s="41" t="str">
        <f aca="false">IF(Tasks[[#This Row],[Task Name]]="","",MAX(1,N(Tasks[[#This Row],[Level]])))</f>
        <v/>
      </c>
      <c r="BS122" s="41" t="n">
        <f aca="false">ROW()-ROW(Tasks[[#Headers],[ID]])</f>
        <v>117</v>
      </c>
      <c r="BT122" s="41" t="n">
        <f aca="false">IF(OR(Tasks[[#This Row],[Task Name]]="",Tasks[[#This Row],[_Level]]&lt;=1),0,IFERROR(LOOKUP(2,1/(Tasks[[#Headers],[_Level]]:Tasks[[#This Row],[_Level]]=Tasks[[#This Row],[_Level]]-1),ROW(Tasks[[#Headers],[_Level]]:Tasks[[#This Row],[_Level]])),0))</f>
        <v>0</v>
      </c>
      <c r="BU122" s="41" t="n">
        <f aca="false">IFERROR(N(INDEX(Tasks[_Level],Tasks[[#This Row],[_Row]]+1)),0)</f>
        <v>0</v>
      </c>
      <c r="BV122" s="100" t="b">
        <f aca="false">AND(Tasks[[#This Row],[Task Name]]&lt;&gt;"",Tasks[[#This Row],[_NextLevel]]&gt;Tasks[[#This Row],[_Level]])</f>
        <v>0</v>
      </c>
      <c r="BW122" s="41" t="n">
        <f aca="false">IF(Tasks[[#This Row],[_IsSummary]],COUNTIF(Tasks[WBS],Tasks[[#This Row],[WBS]]&amp;".*"),0)</f>
        <v>0</v>
      </c>
      <c r="BX122" s="41" t="n">
        <f aca="false">IF(AND(Tasks[[#This Row],[Task Name]]&lt;&gt;"",NOT(Tasks[[#This Row],[_IsSummary]])),1,0)</f>
        <v>0</v>
      </c>
      <c r="BY122" s="41" t="n">
        <f aca="false">IF(N(Tasks[[#This Row],[Pred1 UID]])=0,0,IFERROR(MATCH(Tasks[[#This Row],[Pred1 UID]],Tasks[UID],0),-1))</f>
        <v>0</v>
      </c>
      <c r="BZ122" s="41" t="n">
        <f aca="false">IF(N(Tasks[[#This Row],[Pred2 UID]])=0,0,IFERROR(MATCH(Tasks[[#This Row],[Pred2 UID]],Tasks[UID],0),-1))</f>
        <v>0</v>
      </c>
      <c r="CA122" s="41" t="n">
        <f aca="false">IF(N(Tasks[[#This Row],[Pred3 UID]])=0,0,IFERROR(MATCH(Tasks[[#This Row],[Pred3 UID]],Tasks[UID],0),-1))</f>
        <v>0</v>
      </c>
      <c r="CB122" s="41" t="n">
        <f aca="false">IF(N(Tasks[[#This Row],[Pred4 UID]])=0,0,IFERROR(MATCH(Tasks[[#This Row],[Pred4 UID]],Tasks[UID],0),-1))</f>
        <v>0</v>
      </c>
      <c r="CC1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2" s="101" t="n">
        <f aca="false">IF(OR(Tasks[[#This Row],[_ConstraintCode]]=2,Tasks[[#This Row],[_ConstraintCode]]=3,Tasks[[#This Row],[_ConstraintCode]]=4,Tasks[[#This Row],[_ConstraintCode]]=6),Tasks[[#This Row],[_ConstraintStart]],0)</f>
        <v>0</v>
      </c>
      <c r="CF122" s="101" t="n">
        <f aca="false">IF(OR(Tasks[[#This Row],[_ConstraintCode]]=2,Tasks[[#This Row],[_ConstraintCode]]=3,Tasks[[#This Row],[_ConstraintCode]]=5,Tasks[[#This Row],[_ConstraintCode]]=7),Tasks[[#This Row],[_ConstraintStart]],2958465)</f>
        <v>2958465</v>
      </c>
      <c r="CG12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2" s="101" t="str">
        <f aca="false">IF(NOT(Tasks[[#This Row],[_IsLeaf]]=1),"",IF(N(Tasks[[#This Row],[Duration]])&lt;=0,Tasks[[#This Row],[_LeafCalcStart]],WORKDAY.INTL(Tasks[[#This Row],[_LeafCalcStart]],Tasks[[#This Row],[Duration]]-1,WorkWeek,Holidays)))</f>
        <v/>
      </c>
      <c r="CI12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2" s="41" t="n">
        <f aca="false">IF(NOT(Tasks[[#This Row],[_IsLeaf]]=1),0,IF(N(Tasks[[#This Row],[Actual Finish]])&gt;0,1,MIN(1,N(Tasks[[#This Row],[% Complete]]))))</f>
        <v>0</v>
      </c>
      <c r="CL122" s="41" t="n">
        <f aca="false">IF(OR(NOT(Tasks[[#This Row],[_IsLeaf]]=1),Tasks[[#This Row],[Resource]]=""),0,N(Tasks[[#This Row],[Duration]])*HoursPerDay*IF(Tasks[[#This Row],[Units]]="",DefaultUnits,Tasks[[#This Row],[Units]]))</f>
        <v>0</v>
      </c>
      <c r="CM122" s="41" t="n">
        <f aca="false">IF(Tasks[[#This Row],[_LeafWork]]=0,0,Tasks[[#This Row],[_LeafWork]]*IFERROR(INDEX(res_Rate,MATCH(Tasks[[#This Row],[Resource]],res_Name,0)),0))</f>
        <v>0</v>
      </c>
      <c r="CN122" s="41" t="n">
        <f aca="false">Tasks[[#This Row],[_LeafWork]]+IF(Tasks[[#This Row],[_IsLeaf]]=1,SUMIFS(asg_Work,asg_TaskUID,Tasks[[#This Row],[UID]],asg_Valid,1),0)</f>
        <v>0</v>
      </c>
      <c r="CO122" s="41" t="n">
        <f aca="false">Tasks[[#This Row],[_LeafCost]]+IF(Tasks[[#This Row],[_IsLeaf]]=1,SUMIFS(asg_Cost,asg_TaskUID,Tasks[[#This Row],[UID]],asg_Valid,1),0)</f>
        <v>0</v>
      </c>
      <c r="CP122" s="41" t="n">
        <f aca="false">IF(Tasks[[#This Row],[_LeafTotalCost]]=0,Tasks[[#This Row],[_LeafAC]],Tasks[[#This Row],[_LeafAC]]*Tasks[[#This Row],[_LeafCost]]/Tasks[[#This Row],[_LeafTotalCost]])</f>
        <v>0</v>
      </c>
      <c r="CQ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2" s="41" t="n">
        <f aca="false">IF(NOT(Tasks[[#This Row],[_IsLeaf]]=1),0,MAX(_xlfn.MAXIFS(Tasks[_Row],Tasks[Pred1 UID],Tasks[[#This Row],[UID]]),_xlfn.MAXIFS(Tasks[_Row],Tasks[Pred2 UID],Tasks[[#This Row],[UID]]),_xlfn.MAXIFS(Tasks[_Row],Tasks[Pred3 UID],Tasks[[#This Row],[UID]]),_xlfn.MAXIFS(Tasks[_Row],Tasks[Pred4 UID],Tasks[[#This Row],[UID]])))</f>
        <v>0</v>
      </c>
      <c r="CZ1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2" s="101" t="str">
        <f aca="false">IF(NOT(Tasks[[#This Row],[_IsLeaf]]=1),"",IF(N(Tasks[[#This Row],[Duration]])&lt;=0,Tasks[[#This Row],[_LeafLateFinish]],WORKDAY.INTL(Tasks[[#This Row],[_LeafLateFinish]],-(Tasks[[#This Row],[Duration]]-1),WorkWeek,Holidays)))</f>
        <v/>
      </c>
      <c r="DC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2" s="100" t="b">
        <f aca="false">AND(Tasks[[#This Row],[_IsLeaf]]=1,Tasks[[#This Row],[_LeafProgress]]&lt;1,N(Tasks[[#This Row],[_LeafTotalSlack]])&lt;=CriticalSlackDays)</f>
        <v>0</v>
      </c>
      <c r="DE122" s="41" t="n">
        <f aca="false">IF(AND(Tasks[[#This Row],[_IsLeaf]]=1,Tasks[[#This Row],[_ConstraintCode]]=1,Tasks[[#This Row],[Mode]]&lt;&gt;"Manual",N(Tasks[[#This Row],[Actual Start]])=0),MAX(0,N(Tasks[[#This Row],[Free Slack]])),0)</f>
        <v>0</v>
      </c>
      <c r="DF122" s="101" t="str">
        <f aca="false">IF(NOT(Tasks[[#This Row],[_IsLeaf]]=1),"",IF(Tasks[[#This Row],[_AlapShift]]=0,Tasks[[#This Row],[_LeafCalcStart]],WORKDAY.INTL(Tasks[[#This Row],[_LeafCalcStart]],Tasks[[#This Row],[_AlapShift]],WorkWeek,Holidays)))</f>
        <v/>
      </c>
      <c r="DG122" s="101" t="str">
        <f aca="false">IF(NOT(Tasks[[#This Row],[_IsLeaf]]=1),"",IF(Tasks[[#This Row],[_AlapShift]]=0,Tasks[[#This Row],[_LeafCalcFinish]],WORKDAY.INTL(Tasks[[#This Row],[_LeafCalcFinish]],Tasks[[#This Row],[_AlapShift]],WorkWeek,Holidays)))</f>
        <v/>
      </c>
      <c r="DH122" s="101" t="str">
        <f aca="false">IF(NOT(Tasks[[#This Row],[_IsLeaf]]=1),"",IF(Tasks[[#This Row],[_AlapShift]]=0,Tasks[[#This Row],[_LeafFcstStart]],WORKDAY.INTL(Tasks[[#This Row],[_LeafFcstStart]],Tasks[[#This Row],[_AlapShift]],WorkWeek,Holidays)))</f>
        <v/>
      </c>
      <c r="DI122" s="101" t="str">
        <f aca="false">IF(NOT(Tasks[[#This Row],[_IsLeaf]]=1),"",IF(Tasks[[#This Row],[_AlapShift]]=0,Tasks[[#This Row],[_LeafFcstFinish]],WORKDAY.INTL(Tasks[[#This Row],[_LeafFcstFinish]],Tasks[[#This Row],[_AlapShift]],WorkWeek,Holidays)))</f>
        <v/>
      </c>
      <c r="DJ122" s="101" t="str">
        <f aca="false">IF(Tasks[[#This Row],[Task Name]]="","",IF(Tasks[[#This Row],[_IsSummary]],MIN(INDEX(Tasks[_ShownCalcStart],Tasks[[#This Row],[_Row]]+1):INDEX(Tasks[_ShownCalcStart],Tasks[[#This Row],[_Row]]+Tasks[[#This Row],[_Descendants]])),Tasks[[#This Row],[_ShownCalcStart]]))</f>
        <v/>
      </c>
      <c r="DK122" s="101" t="str">
        <f aca="false">IF(Tasks[[#This Row],[Task Name]]="","",IF(Tasks[[#This Row],[_IsSummary]],MAX(INDEX(Tasks[_ShownCalcFinish],Tasks[[#This Row],[_Row]]+1):INDEX(Tasks[_ShownCalcFinish],Tasks[[#This Row],[_Row]]+Tasks[[#This Row],[_Descendants]])),Tasks[[#This Row],[_ShownCalcFinish]]))</f>
        <v/>
      </c>
      <c r="D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2" s="41" t="n">
        <f aca="false">IF(AND(Tasks[[#This Row],[_IsLeaf]]=1,Tasks[[#This Row],[_LeafTotalWork]]&gt;0),NETWORKDAYS.INTL(ProjectStart,Tasks[[#This Row],[_ShownFcstStart]],WorkWeek,Holidays),0)</f>
        <v>0</v>
      </c>
      <c r="DY122" s="41" t="n">
        <f aca="false">IF(AND(Tasks[[#This Row],[_IsLeaf]]=1,Tasks[[#This Row],[_LeafTotalWork]]&gt;0),MAX(Tasks[[#This Row],[_StartWorkday]],NETWORKDAYS.INTL(ProjectStart,Tasks[[#This Row],[_ShownFcstFinish]],WorkWeek,Holidays)),0)</f>
        <v>0</v>
      </c>
      <c r="DZ122" s="41" t="n">
        <f aca="false">IF(AND(Tasks[[#This Row],[_IsLeaf]]=1,Tasks[[#This Row],[_LeafTotalWork]]&gt;0),Tasks[[#This Row],[_LeafWork]]/(Tasks[[#This Row],[_FinishWorkday]]-Tasks[[#This Row],[_StartWorkday]]+1),0)</f>
        <v>0</v>
      </c>
      <c r="EA122" s="41" t="n">
        <f aca="false">Tasks[[#This Row],[_WorkPerWorkday]]*(Tasks[[#This Row],[_StartWorkday]]-1)</f>
        <v>-0</v>
      </c>
      <c r="EB122" s="41" t="n">
        <f aca="false">IF(Tasks[[#This Row],[_IsLeaf]]=1,MAX(N(Tasks[[#This Row],[Duration]]),0.1),0)</f>
        <v>0</v>
      </c>
      <c r="EC122" s="41" t="n">
        <f aca="false">Tasks[[#This Row],[_WeightDur]]*Tasks[[#This Row],[_LeafProgress]]</f>
        <v>0</v>
      </c>
      <c r="ED1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2" s="41" t="str">
        <f aca="false">IF(AND(Tasks[[#This Row],[_IsLeaf]]=1,N(Tasks[[#This Row],[Duration]])=0,Tasks[[#This Row],[_LeafProgress]]&lt;1),Tasks[[#This Row],[_ShownFcstFinish]]+Tasks[[#This Row],[_Row]]/100000,"")</f>
        <v/>
      </c>
      <c r="EF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2" s="41" t="n">
        <f aca="false">IF(NOT(Tasks[[#This Row],[_IsLeaf]]=1),0,IF(Tasks[[#This Row],[Baseline Cost]]="",Tasks[[#This Row],[_LeafTotalCost]],N(Tasks[[#This Row],[Baseline Cost]])))</f>
        <v>0</v>
      </c>
      <c r="EH122" s="41" t="n">
        <f aca="false">Tasks[[#This Row],[_LeafBudget]]*Tasks[[#This Row],[_PlannedPct]]</f>
        <v>0</v>
      </c>
      <c r="EI122" s="41" t="n">
        <f aca="false">Tasks[[#This Row],[_LeafBudget]]*Tasks[[#This Row],[_LeafProgress]]</f>
        <v>0</v>
      </c>
      <c r="EJ122" s="41" t="n">
        <f aca="false">IF(NOT(Tasks[[#This Row],[_IsLeaf]]=1),0,IF(Tasks[[#This Row],[Actual Cost]]="",Tasks[[#This Row],[_LeafTotalCost]]*Tasks[[#This Row],[_LeafProgress]],N(Tasks[[#This Row],[Actual Cost]])))</f>
        <v>0</v>
      </c>
      <c r="EK122" s="41" t="str">
        <f aca="false">IF(Tasks[[#This Row],[Task Name]]="","",LEFT(Tasks[[#This Row],[WBS]],FIND(".",Tasks[[#This Row],[WBS]]&amp;".")-1))</f>
        <v/>
      </c>
      <c r="EL122" s="41" t="str">
        <f aca="false">IF(AND(Tasks[[#This Row],[Task Name]]&lt;&gt;"",Tasks[[#This Row],[_Level]]=1),Tasks[[#This Row],[_Row]],"")</f>
        <v/>
      </c>
      <c r="EM122" s="41" t="str">
        <f aca="false">IF(AND(Tasks[[#This Row],[_IsLeaf]]=1,N(Tasks[[#This Row],[Duration]])=0),Tasks[[#This Row],[Planned Finish]]+Tasks[[#This Row],[_Row]]/100000,"")</f>
        <v/>
      </c>
      <c r="EN122" s="41" t="str">
        <f aca="false">IF(AND(Tasks[[#This Row],[_IsLeaf]]=1,Tasks[[#This Row],[_LeafProgress]]&lt;1,OR(N(Tasks[[#This Row],[Finish Var]])&gt;0,Tasks[[#This Row],[Status]]="Late Start")),MAX(0,Tasks[[#This Row],[Finish Var]])+1-Tasks[[#This Row],[_Row]]/1000000,"")</f>
        <v/>
      </c>
      <c r="EO122" s="41" t="str">
        <f aca="false">IF(AND(Tasks[[#This Row],[_IsLeaf]]=1,N(Tasks[[#This Row],[Actual Start]])=0,Tasks[[#This Row],[_ShownFcstStart]]&gt;=StatusDate,Tasks[[#This Row],[_ShownFcstStart]]&lt;=LookaheadEnd),Tasks[[#This Row],[_ShownFcstStart]]+Tasks[[#This Row],[_Row]]/100000,"")</f>
        <v/>
      </c>
      <c r="EP122" s="41" t="str">
        <f aca="false">IF(AND(Tasks[[#This Row],[_IsLeaf]]=1,Tasks[[#This Row],[_LeafProgress]]&lt;1,Tasks[[#This Row],[_ShownFcstFinish]]&gt;=StatusDate,Tasks[[#This Row],[_ShownFcstFinish]]&lt;=LookaheadEnd),Tasks[[#This Row],[_ShownFcstFinish]]+Tasks[[#This Row],[_Row]]/100000,"")</f>
        <v/>
      </c>
      <c r="EQ122" s="41" t="str">
        <f aca="false">IF(Tasks[[#This Row],[_LeafCritical]],Tasks[[#This Row],[_ShownFcstStart]]+Tasks[[#This Row],[_Row]]/100000,"")</f>
        <v/>
      </c>
      <c r="ER122" s="41" t="n">
        <f aca="false">Tasks[[#This Row],[_LeafWork]]*Tasks[[#This Row],[_LeafProgress]]</f>
        <v>0</v>
      </c>
      <c r="ES122" s="101" t="str">
        <f aca="false">IF(AND(Tasks[[#This Row],[_IsLeaf]]=1,Tasks[[#This Row],[_LeafProgress]]&gt;=1),IF(N(Tasks[[#This Row],[Actual Finish]])&gt;0,Tasks[[#This Row],[Actual Finish]],Tasks[[#This Row],[_ShownFcstFinish]]),"")</f>
        <v/>
      </c>
      <c r="ET122" s="41" t="n">
        <f aca="false">IF(Tasks[[#This Row],[_IsLeaf]]=1,N(Tasks[[#This Row],[Story Points]]),0)</f>
        <v>0</v>
      </c>
      <c r="EU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29"/>
      <c r="O123" s="29"/>
      <c r="P123" s="29"/>
      <c r="Q123" s="29"/>
      <c r="R123" s="29"/>
      <c r="S123" s="29"/>
      <c r="T123" s="30"/>
      <c r="U123" s="75"/>
      <c r="V123" s="75"/>
      <c r="W123" s="25" t="str">
        <f aca="false">IF(Tasks[[#This Row],[Task Name]]="","",IF(N(Tasks[[#This Row],[Baseline Start]])&gt;0,Tasks[[#This Row],[Baseline Start]],Tasks[[#This Row],[_CalcStart]]))</f>
        <v/>
      </c>
      <c r="X123" s="25" t="str">
        <f aca="false">IF(Tasks[[#This Row],[Task Name]]="","",IF(N(Tasks[[#This Row],[Baseline Finish]])&gt;0,Tasks[[#This Row],[Baseline Finish]],Tasks[[#This Row],[_CalcFinish]]))</f>
        <v/>
      </c>
      <c r="Y123" s="75"/>
      <c r="Z123" s="75"/>
      <c r="AA123" s="25" t="str">
        <f aca="false">IF(Tasks[[#This Row],[Task Name]]="","",IF(Tasks[[#This Row],[_IsSummary]],MIN(INDEX(Tasks[_ShownFcstStart],Tasks[[#This Row],[_Row]]+1):INDEX(Tasks[_ShownFcstStart],Tasks[[#This Row],[_Row]]+Tasks[[#This Row],[_Descendants]])),Tasks[[#This Row],[_ShownFcstStart]]))</f>
        <v/>
      </c>
      <c r="AB123" s="25" t="str">
        <f aca="false">IF(Tasks[[#This Row],[Task Name]]="","",IF(Tasks[[#This Row],[_IsSummary]],MAX(INDEX(Tasks[_ShownFcstFinish],Tasks[[#This Row],[_Row]]+1):INDEX(Tasks[_ShownFcstFinish],Tasks[[#This Row],[_Row]]+Tasks[[#This Row],[_Descendants]])),Tasks[[#This Row],[_ShownFcstFinish]]))</f>
        <v/>
      </c>
      <c r="AC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3" s="25" t="str">
        <f aca="false">IF(Tasks[[#This Row],[Task Name]]="","",IF(Tasks[[#This Row],[_IsSummary]],MIN(INDEX(Tasks[_LeafLateStart],Tasks[[#This Row],[_Row]]+1):INDEX(Tasks[_LeafLateStart],Tasks[[#This Row],[_Row]]+Tasks[[#This Row],[_Descendants]])),Tasks[[#This Row],[_LeafLateStart]]))</f>
        <v/>
      </c>
      <c r="AF123" s="25" t="str">
        <f aca="false">IF(Tasks[[#This Row],[Task Name]]="","",IF(Tasks[[#This Row],[_IsSummary]],MAX(INDEX(Tasks[_LeafLateFinish],Tasks[[#This Row],[_Row]]+1):INDEX(Tasks[_LeafLateFinish],Tasks[[#This Row],[_Row]]+Tasks[[#This Row],[_Descendants]])),Tasks[[#This Row],[_LeafLateFinish]]))</f>
        <v/>
      </c>
      <c r="AG123" s="28" t="str">
        <f aca="false">IF(Tasks[[#This Row],[Task Name]]="","",IF(Tasks[[#This Row],[_IsSummary]],MIN(INDEX(Tasks[_LeafTotalSlack],Tasks[[#This Row],[_Row]]+1):INDEX(Tasks[_LeafTotalSlack],Tasks[[#This Row],[_Row]]+Tasks[[#This Row],[_Descendants]])),Tasks[[#This Row],[_LeafTotalSlack]]))</f>
        <v/>
      </c>
      <c r="AH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3" s="28" t="str">
        <f aca="false">IF(Tasks[[#This Row],[Task Name]]="","",IF(IF(Tasks[[#This Row],[_IsSummary]],COUNTIF(INDEX(Tasks[_LeafCritical],Tasks[[#This Row],[_Row]]+1):INDEX(Tasks[_LeafCritical],Tasks[[#This Row],[_Row]]+Tasks[[#This Row],[_Descendants]]),TRUE())&gt;0,Tasks[[#This Row],[_LeafCritical]]),"Yes",""))</f>
        <v/>
      </c>
      <c r="AJ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3" s="89"/>
      <c r="AM1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3" s="28" t="str">
        <f aca="false">IF(Tasks[[#This Row],[Task Name]]="","",IF(Tasks[[#This Row],[Progress]]&gt;=1,"Complete",IF(OR(N(Tasks[[#This Row],[Actual Start]])&gt;0,Tasks[[#This Row],[Progress]]&gt;0),IF(Tasks[[#This Row],[Finish Var]]&gt;0,"Behind","In Progress"),IF(Tasks[[#This Row],[Planned Start]]&lt;StatusDate,"Late Start","Not Started"))))</f>
        <v/>
      </c>
      <c r="AO123" s="30"/>
      <c r="AP123" s="89"/>
      <c r="AQ1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3" s="96" t="str">
        <f aca="false">IF(Tasks[[#This Row],[Task Name]]="","",IF(Tasks[[#This Row],[_IsSummary]],SUM(INDEX(Tasks[_LeafTotalWork],Tasks[[#This Row],[_Row]]+1):INDEX(Tasks[_LeafTotalWork],Tasks[[#This Row],[_Row]]+Tasks[[#This Row],[_Descendants]])),Tasks[[#This Row],[_LeafTotalWork]]))</f>
        <v/>
      </c>
      <c r="AT123" s="97" t="str">
        <f aca="false">IF(Tasks[[#This Row],[Task Name]]="","",IF(Tasks[[#This Row],[_IsSummary]],SUM(INDEX(Tasks[_LeafTotalCost],Tasks[[#This Row],[_Row]]+1):INDEX(Tasks[_LeafTotalCost],Tasks[[#This Row],[_Row]]+Tasks[[#This Row],[_Descendants]])),Tasks[[#This Row],[_LeafTotalCost]]))</f>
        <v/>
      </c>
      <c r="AU123" s="98"/>
      <c r="AV123" s="29"/>
      <c r="AW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3" s="83"/>
      <c r="AY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3" s="30"/>
      <c r="BA123" s="25" t="str">
        <f aca="false">IF(Tasks[[#This Row],[Task Name]]="","",Tasks[[#This Row],[Forecast Start]])</f>
        <v/>
      </c>
      <c r="BB123" s="25" t="str">
        <f aca="false">IF(Tasks[[#This Row],[Task Name]]="","",Tasks[[#This Row],[Forecast Finish]])</f>
        <v/>
      </c>
      <c r="BC123" s="28" t="str">
        <f aca="false">IF(Tasks[[#This Row],[Task Name]]="","",IF(Tasks[[#This Row],[_IsSummary]],NETWORKDAYS.INTL(Tasks[[#This Row],[Forecast Start]],Tasks[[#This Row],[Forecast Finish]],WorkWeek,Holidays),N(Tasks[[#This Row],[Duration]])))</f>
        <v/>
      </c>
      <c r="BD123" s="96" t="str">
        <f aca="false">IF(Tasks[[#This Row],[Task Name]]="","",Tasks[[#This Row],[Work]])</f>
        <v/>
      </c>
      <c r="BE123" s="97" t="str">
        <f aca="false">IF(Tasks[[#This Row],[Task Name]]="","",Tasks[[#This Row],[Cost]])</f>
        <v/>
      </c>
      <c r="BF123" s="75"/>
      <c r="BG123" s="75"/>
      <c r="BH123" s="29"/>
      <c r="BI123" s="99"/>
      <c r="BJ123" s="98"/>
      <c r="BK123" s="28" t="str">
        <f aca="false">IF(OR(Tasks[[#This Row],[Task Name]]="",Tasks[[#This Row],[Baseline Duration]]=""),"",Tasks[[#This Row],[BL Source Duration]]-N(Tasks[[#This Row],[Baseline Duration]]))</f>
        <v/>
      </c>
      <c r="BL123" s="96" t="str">
        <f aca="false">IF(OR(Tasks[[#This Row],[Task Name]]="",Tasks[[#This Row],[Baseline Work]]=""),"",Tasks[[#This Row],[Work]]-N(Tasks[[#This Row],[Baseline Work]]))</f>
        <v/>
      </c>
      <c r="BM123" s="97" t="str">
        <f aca="false">IF(OR(Tasks[[#This Row],[Task Name]]="",Tasks[[#This Row],[Baseline Cost]]=""),"",Tasks[[#This Row],[Cost]]-N(Tasks[[#This Row],[Baseline Cost]]))</f>
        <v/>
      </c>
      <c r="BN123" s="97" t="str">
        <f aca="false">IF(Tasks[[#This Row],[Task Name]]="","",IF(Tasks[[#This Row],[_IsSummary]],SUM(INDEX(Tasks[_LeafBudget],Tasks[[#This Row],[_Row]]+1):INDEX(Tasks[_LeafBudget],Tasks[[#This Row],[_Row]]+Tasks[[#This Row],[_Descendants]])),Tasks[[#This Row],[_LeafBudget]]))</f>
        <v/>
      </c>
      <c r="BO123" s="97" t="str">
        <f aca="false">IF(Tasks[[#This Row],[Task Name]]="","",IF(Tasks[[#This Row],[_IsSummary]],SUM(INDEX(Tasks[_LeafPV],Tasks[[#This Row],[_Row]]+1):INDEX(Tasks[_LeafPV],Tasks[[#This Row],[_Row]]+Tasks[[#This Row],[_Descendants]])),Tasks[[#This Row],[_LeafPV]]))</f>
        <v/>
      </c>
      <c r="BP123" s="97" t="str">
        <f aca="false">IF(Tasks[[#This Row],[Task Name]]="","",IF(Tasks[[#This Row],[_IsSummary]],SUM(INDEX(Tasks[_LeafEV],Tasks[[#This Row],[_Row]]+1):INDEX(Tasks[_LeafEV],Tasks[[#This Row],[_Row]]+Tasks[[#This Row],[_Descendants]])),Tasks[[#This Row],[_LeafEV]]))</f>
        <v/>
      </c>
      <c r="BQ123" s="97" t="str">
        <f aca="false">IF(Tasks[[#This Row],[Task Name]]="","",IF(Tasks[[#This Row],[_IsSummary]],SUM(INDEX(Tasks[_LeafAC],Tasks[[#This Row],[_Row]]+1):INDEX(Tasks[_LeafAC],Tasks[[#This Row],[_Row]]+Tasks[[#This Row],[_Descendants]])),Tasks[[#This Row],[_LeafAC]]))</f>
        <v/>
      </c>
      <c r="BR123" s="41" t="str">
        <f aca="false">IF(Tasks[[#This Row],[Task Name]]="","",MAX(1,N(Tasks[[#This Row],[Level]])))</f>
        <v/>
      </c>
      <c r="BS123" s="41" t="n">
        <f aca="false">ROW()-ROW(Tasks[[#Headers],[ID]])</f>
        <v>118</v>
      </c>
      <c r="BT123" s="41" t="n">
        <f aca="false">IF(OR(Tasks[[#This Row],[Task Name]]="",Tasks[[#This Row],[_Level]]&lt;=1),0,IFERROR(LOOKUP(2,1/(Tasks[[#Headers],[_Level]]:Tasks[[#This Row],[_Level]]=Tasks[[#This Row],[_Level]]-1),ROW(Tasks[[#Headers],[_Level]]:Tasks[[#This Row],[_Level]])),0))</f>
        <v>0</v>
      </c>
      <c r="BU123" s="41" t="n">
        <f aca="false">IFERROR(N(INDEX(Tasks[_Level],Tasks[[#This Row],[_Row]]+1)),0)</f>
        <v>0</v>
      </c>
      <c r="BV123" s="100" t="b">
        <f aca="false">AND(Tasks[[#This Row],[Task Name]]&lt;&gt;"",Tasks[[#This Row],[_NextLevel]]&gt;Tasks[[#This Row],[_Level]])</f>
        <v>0</v>
      </c>
      <c r="BW123" s="41" t="n">
        <f aca="false">IF(Tasks[[#This Row],[_IsSummary]],COUNTIF(Tasks[WBS],Tasks[[#This Row],[WBS]]&amp;".*"),0)</f>
        <v>0</v>
      </c>
      <c r="BX123" s="41" t="n">
        <f aca="false">IF(AND(Tasks[[#This Row],[Task Name]]&lt;&gt;"",NOT(Tasks[[#This Row],[_IsSummary]])),1,0)</f>
        <v>0</v>
      </c>
      <c r="BY123" s="41" t="n">
        <f aca="false">IF(N(Tasks[[#This Row],[Pred1 UID]])=0,0,IFERROR(MATCH(Tasks[[#This Row],[Pred1 UID]],Tasks[UID],0),-1))</f>
        <v>0</v>
      </c>
      <c r="BZ123" s="41" t="n">
        <f aca="false">IF(N(Tasks[[#This Row],[Pred2 UID]])=0,0,IFERROR(MATCH(Tasks[[#This Row],[Pred2 UID]],Tasks[UID],0),-1))</f>
        <v>0</v>
      </c>
      <c r="CA123" s="41" t="n">
        <f aca="false">IF(N(Tasks[[#This Row],[Pred3 UID]])=0,0,IFERROR(MATCH(Tasks[[#This Row],[Pred3 UID]],Tasks[UID],0),-1))</f>
        <v>0</v>
      </c>
      <c r="CB123" s="41" t="n">
        <f aca="false">IF(N(Tasks[[#This Row],[Pred4 UID]])=0,0,IFERROR(MATCH(Tasks[[#This Row],[Pred4 UID]],Tasks[UID],0),-1))</f>
        <v>0</v>
      </c>
      <c r="CC1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3" s="101" t="n">
        <f aca="false">IF(OR(Tasks[[#This Row],[_ConstraintCode]]=2,Tasks[[#This Row],[_ConstraintCode]]=3,Tasks[[#This Row],[_ConstraintCode]]=4,Tasks[[#This Row],[_ConstraintCode]]=6),Tasks[[#This Row],[_ConstraintStart]],0)</f>
        <v>0</v>
      </c>
      <c r="CF123" s="101" t="n">
        <f aca="false">IF(OR(Tasks[[#This Row],[_ConstraintCode]]=2,Tasks[[#This Row],[_ConstraintCode]]=3,Tasks[[#This Row],[_ConstraintCode]]=5,Tasks[[#This Row],[_ConstraintCode]]=7),Tasks[[#This Row],[_ConstraintStart]],2958465)</f>
        <v>2958465</v>
      </c>
      <c r="CG12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3" s="101" t="str">
        <f aca="false">IF(NOT(Tasks[[#This Row],[_IsLeaf]]=1),"",IF(N(Tasks[[#This Row],[Duration]])&lt;=0,Tasks[[#This Row],[_LeafCalcStart]],WORKDAY.INTL(Tasks[[#This Row],[_LeafCalcStart]],Tasks[[#This Row],[Duration]]-1,WorkWeek,Holidays)))</f>
        <v/>
      </c>
      <c r="CI12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3" s="41" t="n">
        <f aca="false">IF(NOT(Tasks[[#This Row],[_IsLeaf]]=1),0,IF(N(Tasks[[#This Row],[Actual Finish]])&gt;0,1,MIN(1,N(Tasks[[#This Row],[% Complete]]))))</f>
        <v>0</v>
      </c>
      <c r="CL123" s="41" t="n">
        <f aca="false">IF(OR(NOT(Tasks[[#This Row],[_IsLeaf]]=1),Tasks[[#This Row],[Resource]]=""),0,N(Tasks[[#This Row],[Duration]])*HoursPerDay*IF(Tasks[[#This Row],[Units]]="",DefaultUnits,Tasks[[#This Row],[Units]]))</f>
        <v>0</v>
      </c>
      <c r="CM123" s="41" t="n">
        <f aca="false">IF(Tasks[[#This Row],[_LeafWork]]=0,0,Tasks[[#This Row],[_LeafWork]]*IFERROR(INDEX(res_Rate,MATCH(Tasks[[#This Row],[Resource]],res_Name,0)),0))</f>
        <v>0</v>
      </c>
      <c r="CN123" s="41" t="n">
        <f aca="false">Tasks[[#This Row],[_LeafWork]]+IF(Tasks[[#This Row],[_IsLeaf]]=1,SUMIFS(asg_Work,asg_TaskUID,Tasks[[#This Row],[UID]],asg_Valid,1),0)</f>
        <v>0</v>
      </c>
      <c r="CO123" s="41" t="n">
        <f aca="false">Tasks[[#This Row],[_LeafCost]]+IF(Tasks[[#This Row],[_IsLeaf]]=1,SUMIFS(asg_Cost,asg_TaskUID,Tasks[[#This Row],[UID]],asg_Valid,1),0)</f>
        <v>0</v>
      </c>
      <c r="CP123" s="41" t="n">
        <f aca="false">IF(Tasks[[#This Row],[_LeafTotalCost]]=0,Tasks[[#This Row],[_LeafAC]],Tasks[[#This Row],[_LeafAC]]*Tasks[[#This Row],[_LeafCost]]/Tasks[[#This Row],[_LeafTotalCost]])</f>
        <v>0</v>
      </c>
      <c r="CQ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3" s="41" t="n">
        <f aca="false">IF(NOT(Tasks[[#This Row],[_IsLeaf]]=1),0,MAX(_xlfn.MAXIFS(Tasks[_Row],Tasks[Pred1 UID],Tasks[[#This Row],[UID]]),_xlfn.MAXIFS(Tasks[_Row],Tasks[Pred2 UID],Tasks[[#This Row],[UID]]),_xlfn.MAXIFS(Tasks[_Row],Tasks[Pred3 UID],Tasks[[#This Row],[UID]]),_xlfn.MAXIFS(Tasks[_Row],Tasks[Pred4 UID],Tasks[[#This Row],[UID]])))</f>
        <v>0</v>
      </c>
      <c r="CZ1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3" s="101" t="str">
        <f aca="false">IF(NOT(Tasks[[#This Row],[_IsLeaf]]=1),"",IF(N(Tasks[[#This Row],[Duration]])&lt;=0,Tasks[[#This Row],[_LeafLateFinish]],WORKDAY.INTL(Tasks[[#This Row],[_LeafLateFinish]],-(Tasks[[#This Row],[Duration]]-1),WorkWeek,Holidays)))</f>
        <v/>
      </c>
      <c r="DC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3" s="100" t="b">
        <f aca="false">AND(Tasks[[#This Row],[_IsLeaf]]=1,Tasks[[#This Row],[_LeafProgress]]&lt;1,N(Tasks[[#This Row],[_LeafTotalSlack]])&lt;=CriticalSlackDays)</f>
        <v>0</v>
      </c>
      <c r="DE123" s="41" t="n">
        <f aca="false">IF(AND(Tasks[[#This Row],[_IsLeaf]]=1,Tasks[[#This Row],[_ConstraintCode]]=1,Tasks[[#This Row],[Mode]]&lt;&gt;"Manual",N(Tasks[[#This Row],[Actual Start]])=0),MAX(0,N(Tasks[[#This Row],[Free Slack]])),0)</f>
        <v>0</v>
      </c>
      <c r="DF123" s="101" t="str">
        <f aca="false">IF(NOT(Tasks[[#This Row],[_IsLeaf]]=1),"",IF(Tasks[[#This Row],[_AlapShift]]=0,Tasks[[#This Row],[_LeafCalcStart]],WORKDAY.INTL(Tasks[[#This Row],[_LeafCalcStart]],Tasks[[#This Row],[_AlapShift]],WorkWeek,Holidays)))</f>
        <v/>
      </c>
      <c r="DG123" s="101" t="str">
        <f aca="false">IF(NOT(Tasks[[#This Row],[_IsLeaf]]=1),"",IF(Tasks[[#This Row],[_AlapShift]]=0,Tasks[[#This Row],[_LeafCalcFinish]],WORKDAY.INTL(Tasks[[#This Row],[_LeafCalcFinish]],Tasks[[#This Row],[_AlapShift]],WorkWeek,Holidays)))</f>
        <v/>
      </c>
      <c r="DH123" s="101" t="str">
        <f aca="false">IF(NOT(Tasks[[#This Row],[_IsLeaf]]=1),"",IF(Tasks[[#This Row],[_AlapShift]]=0,Tasks[[#This Row],[_LeafFcstStart]],WORKDAY.INTL(Tasks[[#This Row],[_LeafFcstStart]],Tasks[[#This Row],[_AlapShift]],WorkWeek,Holidays)))</f>
        <v/>
      </c>
      <c r="DI123" s="101" t="str">
        <f aca="false">IF(NOT(Tasks[[#This Row],[_IsLeaf]]=1),"",IF(Tasks[[#This Row],[_AlapShift]]=0,Tasks[[#This Row],[_LeafFcstFinish]],WORKDAY.INTL(Tasks[[#This Row],[_LeafFcstFinish]],Tasks[[#This Row],[_AlapShift]],WorkWeek,Holidays)))</f>
        <v/>
      </c>
      <c r="DJ123" s="101" t="str">
        <f aca="false">IF(Tasks[[#This Row],[Task Name]]="","",IF(Tasks[[#This Row],[_IsSummary]],MIN(INDEX(Tasks[_ShownCalcStart],Tasks[[#This Row],[_Row]]+1):INDEX(Tasks[_ShownCalcStart],Tasks[[#This Row],[_Row]]+Tasks[[#This Row],[_Descendants]])),Tasks[[#This Row],[_ShownCalcStart]]))</f>
        <v/>
      </c>
      <c r="DK123" s="101" t="str">
        <f aca="false">IF(Tasks[[#This Row],[Task Name]]="","",IF(Tasks[[#This Row],[_IsSummary]],MAX(INDEX(Tasks[_ShownCalcFinish],Tasks[[#This Row],[_Row]]+1):INDEX(Tasks[_ShownCalcFinish],Tasks[[#This Row],[_Row]]+Tasks[[#This Row],[_Descendants]])),Tasks[[#This Row],[_ShownCalcFinish]]))</f>
        <v/>
      </c>
      <c r="D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3" s="41" t="n">
        <f aca="false">IF(AND(Tasks[[#This Row],[_IsLeaf]]=1,Tasks[[#This Row],[_LeafTotalWork]]&gt;0),NETWORKDAYS.INTL(ProjectStart,Tasks[[#This Row],[_ShownFcstStart]],WorkWeek,Holidays),0)</f>
        <v>0</v>
      </c>
      <c r="DY123" s="41" t="n">
        <f aca="false">IF(AND(Tasks[[#This Row],[_IsLeaf]]=1,Tasks[[#This Row],[_LeafTotalWork]]&gt;0),MAX(Tasks[[#This Row],[_StartWorkday]],NETWORKDAYS.INTL(ProjectStart,Tasks[[#This Row],[_ShownFcstFinish]],WorkWeek,Holidays)),0)</f>
        <v>0</v>
      </c>
      <c r="DZ123" s="41" t="n">
        <f aca="false">IF(AND(Tasks[[#This Row],[_IsLeaf]]=1,Tasks[[#This Row],[_LeafTotalWork]]&gt;0),Tasks[[#This Row],[_LeafWork]]/(Tasks[[#This Row],[_FinishWorkday]]-Tasks[[#This Row],[_StartWorkday]]+1),0)</f>
        <v>0</v>
      </c>
      <c r="EA123" s="41" t="n">
        <f aca="false">Tasks[[#This Row],[_WorkPerWorkday]]*(Tasks[[#This Row],[_StartWorkday]]-1)</f>
        <v>-0</v>
      </c>
      <c r="EB123" s="41" t="n">
        <f aca="false">IF(Tasks[[#This Row],[_IsLeaf]]=1,MAX(N(Tasks[[#This Row],[Duration]]),0.1),0)</f>
        <v>0</v>
      </c>
      <c r="EC123" s="41" t="n">
        <f aca="false">Tasks[[#This Row],[_WeightDur]]*Tasks[[#This Row],[_LeafProgress]]</f>
        <v>0</v>
      </c>
      <c r="ED1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3" s="41" t="str">
        <f aca="false">IF(AND(Tasks[[#This Row],[_IsLeaf]]=1,N(Tasks[[#This Row],[Duration]])=0,Tasks[[#This Row],[_LeafProgress]]&lt;1),Tasks[[#This Row],[_ShownFcstFinish]]+Tasks[[#This Row],[_Row]]/100000,"")</f>
        <v/>
      </c>
      <c r="EF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3" s="41" t="n">
        <f aca="false">IF(NOT(Tasks[[#This Row],[_IsLeaf]]=1),0,IF(Tasks[[#This Row],[Baseline Cost]]="",Tasks[[#This Row],[_LeafTotalCost]],N(Tasks[[#This Row],[Baseline Cost]])))</f>
        <v>0</v>
      </c>
      <c r="EH123" s="41" t="n">
        <f aca="false">Tasks[[#This Row],[_LeafBudget]]*Tasks[[#This Row],[_PlannedPct]]</f>
        <v>0</v>
      </c>
      <c r="EI123" s="41" t="n">
        <f aca="false">Tasks[[#This Row],[_LeafBudget]]*Tasks[[#This Row],[_LeafProgress]]</f>
        <v>0</v>
      </c>
      <c r="EJ123" s="41" t="n">
        <f aca="false">IF(NOT(Tasks[[#This Row],[_IsLeaf]]=1),0,IF(Tasks[[#This Row],[Actual Cost]]="",Tasks[[#This Row],[_LeafTotalCost]]*Tasks[[#This Row],[_LeafProgress]],N(Tasks[[#This Row],[Actual Cost]])))</f>
        <v>0</v>
      </c>
      <c r="EK123" s="41" t="str">
        <f aca="false">IF(Tasks[[#This Row],[Task Name]]="","",LEFT(Tasks[[#This Row],[WBS]],FIND(".",Tasks[[#This Row],[WBS]]&amp;".")-1))</f>
        <v/>
      </c>
      <c r="EL123" s="41" t="str">
        <f aca="false">IF(AND(Tasks[[#This Row],[Task Name]]&lt;&gt;"",Tasks[[#This Row],[_Level]]=1),Tasks[[#This Row],[_Row]],"")</f>
        <v/>
      </c>
      <c r="EM123" s="41" t="str">
        <f aca="false">IF(AND(Tasks[[#This Row],[_IsLeaf]]=1,N(Tasks[[#This Row],[Duration]])=0),Tasks[[#This Row],[Planned Finish]]+Tasks[[#This Row],[_Row]]/100000,"")</f>
        <v/>
      </c>
      <c r="EN123" s="41" t="str">
        <f aca="false">IF(AND(Tasks[[#This Row],[_IsLeaf]]=1,Tasks[[#This Row],[_LeafProgress]]&lt;1,OR(N(Tasks[[#This Row],[Finish Var]])&gt;0,Tasks[[#This Row],[Status]]="Late Start")),MAX(0,Tasks[[#This Row],[Finish Var]])+1-Tasks[[#This Row],[_Row]]/1000000,"")</f>
        <v/>
      </c>
      <c r="EO123" s="41" t="str">
        <f aca="false">IF(AND(Tasks[[#This Row],[_IsLeaf]]=1,N(Tasks[[#This Row],[Actual Start]])=0,Tasks[[#This Row],[_ShownFcstStart]]&gt;=StatusDate,Tasks[[#This Row],[_ShownFcstStart]]&lt;=LookaheadEnd),Tasks[[#This Row],[_ShownFcstStart]]+Tasks[[#This Row],[_Row]]/100000,"")</f>
        <v/>
      </c>
      <c r="EP123" s="41" t="str">
        <f aca="false">IF(AND(Tasks[[#This Row],[_IsLeaf]]=1,Tasks[[#This Row],[_LeafProgress]]&lt;1,Tasks[[#This Row],[_ShownFcstFinish]]&gt;=StatusDate,Tasks[[#This Row],[_ShownFcstFinish]]&lt;=LookaheadEnd),Tasks[[#This Row],[_ShownFcstFinish]]+Tasks[[#This Row],[_Row]]/100000,"")</f>
        <v/>
      </c>
      <c r="EQ123" s="41" t="str">
        <f aca="false">IF(Tasks[[#This Row],[_LeafCritical]],Tasks[[#This Row],[_ShownFcstStart]]+Tasks[[#This Row],[_Row]]/100000,"")</f>
        <v/>
      </c>
      <c r="ER123" s="41" t="n">
        <f aca="false">Tasks[[#This Row],[_LeafWork]]*Tasks[[#This Row],[_LeafProgress]]</f>
        <v>0</v>
      </c>
      <c r="ES123" s="101" t="str">
        <f aca="false">IF(AND(Tasks[[#This Row],[_IsLeaf]]=1,Tasks[[#This Row],[_LeafProgress]]&gt;=1),IF(N(Tasks[[#This Row],[Actual Finish]])&gt;0,Tasks[[#This Row],[Actual Finish]],Tasks[[#This Row],[_ShownFcstFinish]]),"")</f>
        <v/>
      </c>
      <c r="ET123" s="41" t="n">
        <f aca="false">IF(Tasks[[#This Row],[_IsLeaf]]=1,N(Tasks[[#This Row],[Story Points]]),0)</f>
        <v>0</v>
      </c>
      <c r="EU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29"/>
      <c r="O124" s="29"/>
      <c r="P124" s="29"/>
      <c r="Q124" s="29"/>
      <c r="R124" s="29"/>
      <c r="S124" s="29"/>
      <c r="T124" s="30"/>
      <c r="U124" s="75"/>
      <c r="V124" s="75"/>
      <c r="W124" s="25" t="str">
        <f aca="false">IF(Tasks[[#This Row],[Task Name]]="","",IF(N(Tasks[[#This Row],[Baseline Start]])&gt;0,Tasks[[#This Row],[Baseline Start]],Tasks[[#This Row],[_CalcStart]]))</f>
        <v/>
      </c>
      <c r="X124" s="25" t="str">
        <f aca="false">IF(Tasks[[#This Row],[Task Name]]="","",IF(N(Tasks[[#This Row],[Baseline Finish]])&gt;0,Tasks[[#This Row],[Baseline Finish]],Tasks[[#This Row],[_CalcFinish]]))</f>
        <v/>
      </c>
      <c r="Y124" s="75"/>
      <c r="Z124" s="75"/>
      <c r="AA124" s="25" t="str">
        <f aca="false">IF(Tasks[[#This Row],[Task Name]]="","",IF(Tasks[[#This Row],[_IsSummary]],MIN(INDEX(Tasks[_ShownFcstStart],Tasks[[#This Row],[_Row]]+1):INDEX(Tasks[_ShownFcstStart],Tasks[[#This Row],[_Row]]+Tasks[[#This Row],[_Descendants]])),Tasks[[#This Row],[_ShownFcstStart]]))</f>
        <v/>
      </c>
      <c r="AB124" s="25" t="str">
        <f aca="false">IF(Tasks[[#This Row],[Task Name]]="","",IF(Tasks[[#This Row],[_IsSummary]],MAX(INDEX(Tasks[_ShownFcstFinish],Tasks[[#This Row],[_Row]]+1):INDEX(Tasks[_ShownFcstFinish],Tasks[[#This Row],[_Row]]+Tasks[[#This Row],[_Descendants]])),Tasks[[#This Row],[_ShownFcstFinish]]))</f>
        <v/>
      </c>
      <c r="AC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4" s="25" t="str">
        <f aca="false">IF(Tasks[[#This Row],[Task Name]]="","",IF(Tasks[[#This Row],[_IsSummary]],MIN(INDEX(Tasks[_LeafLateStart],Tasks[[#This Row],[_Row]]+1):INDEX(Tasks[_LeafLateStart],Tasks[[#This Row],[_Row]]+Tasks[[#This Row],[_Descendants]])),Tasks[[#This Row],[_LeafLateStart]]))</f>
        <v/>
      </c>
      <c r="AF124" s="25" t="str">
        <f aca="false">IF(Tasks[[#This Row],[Task Name]]="","",IF(Tasks[[#This Row],[_IsSummary]],MAX(INDEX(Tasks[_LeafLateFinish],Tasks[[#This Row],[_Row]]+1):INDEX(Tasks[_LeafLateFinish],Tasks[[#This Row],[_Row]]+Tasks[[#This Row],[_Descendants]])),Tasks[[#This Row],[_LeafLateFinish]]))</f>
        <v/>
      </c>
      <c r="AG124" s="28" t="str">
        <f aca="false">IF(Tasks[[#This Row],[Task Name]]="","",IF(Tasks[[#This Row],[_IsSummary]],MIN(INDEX(Tasks[_LeafTotalSlack],Tasks[[#This Row],[_Row]]+1):INDEX(Tasks[_LeafTotalSlack],Tasks[[#This Row],[_Row]]+Tasks[[#This Row],[_Descendants]])),Tasks[[#This Row],[_LeafTotalSlack]]))</f>
        <v/>
      </c>
      <c r="AH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4" s="28" t="str">
        <f aca="false">IF(Tasks[[#This Row],[Task Name]]="","",IF(IF(Tasks[[#This Row],[_IsSummary]],COUNTIF(INDEX(Tasks[_LeafCritical],Tasks[[#This Row],[_Row]]+1):INDEX(Tasks[_LeafCritical],Tasks[[#This Row],[_Row]]+Tasks[[#This Row],[_Descendants]]),TRUE())&gt;0,Tasks[[#This Row],[_LeafCritical]]),"Yes",""))</f>
        <v/>
      </c>
      <c r="AJ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4" s="89"/>
      <c r="AM1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4" s="28" t="str">
        <f aca="false">IF(Tasks[[#This Row],[Task Name]]="","",IF(Tasks[[#This Row],[Progress]]&gt;=1,"Complete",IF(OR(N(Tasks[[#This Row],[Actual Start]])&gt;0,Tasks[[#This Row],[Progress]]&gt;0),IF(Tasks[[#This Row],[Finish Var]]&gt;0,"Behind","In Progress"),IF(Tasks[[#This Row],[Planned Start]]&lt;StatusDate,"Late Start","Not Started"))))</f>
        <v/>
      </c>
      <c r="AO124" s="30"/>
      <c r="AP124" s="89"/>
      <c r="AQ1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4" s="96" t="str">
        <f aca="false">IF(Tasks[[#This Row],[Task Name]]="","",IF(Tasks[[#This Row],[_IsSummary]],SUM(INDEX(Tasks[_LeafTotalWork],Tasks[[#This Row],[_Row]]+1):INDEX(Tasks[_LeafTotalWork],Tasks[[#This Row],[_Row]]+Tasks[[#This Row],[_Descendants]])),Tasks[[#This Row],[_LeafTotalWork]]))</f>
        <v/>
      </c>
      <c r="AT124" s="97" t="str">
        <f aca="false">IF(Tasks[[#This Row],[Task Name]]="","",IF(Tasks[[#This Row],[_IsSummary]],SUM(INDEX(Tasks[_LeafTotalCost],Tasks[[#This Row],[_Row]]+1):INDEX(Tasks[_LeafTotalCost],Tasks[[#This Row],[_Row]]+Tasks[[#This Row],[_Descendants]])),Tasks[[#This Row],[_LeafTotalCost]]))</f>
        <v/>
      </c>
      <c r="AU124" s="98"/>
      <c r="AV124" s="29"/>
      <c r="AW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4" s="83"/>
      <c r="AY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4" s="30"/>
      <c r="BA124" s="25" t="str">
        <f aca="false">IF(Tasks[[#This Row],[Task Name]]="","",Tasks[[#This Row],[Forecast Start]])</f>
        <v/>
      </c>
      <c r="BB124" s="25" t="str">
        <f aca="false">IF(Tasks[[#This Row],[Task Name]]="","",Tasks[[#This Row],[Forecast Finish]])</f>
        <v/>
      </c>
      <c r="BC124" s="28" t="str">
        <f aca="false">IF(Tasks[[#This Row],[Task Name]]="","",IF(Tasks[[#This Row],[_IsSummary]],NETWORKDAYS.INTL(Tasks[[#This Row],[Forecast Start]],Tasks[[#This Row],[Forecast Finish]],WorkWeek,Holidays),N(Tasks[[#This Row],[Duration]])))</f>
        <v/>
      </c>
      <c r="BD124" s="96" t="str">
        <f aca="false">IF(Tasks[[#This Row],[Task Name]]="","",Tasks[[#This Row],[Work]])</f>
        <v/>
      </c>
      <c r="BE124" s="97" t="str">
        <f aca="false">IF(Tasks[[#This Row],[Task Name]]="","",Tasks[[#This Row],[Cost]])</f>
        <v/>
      </c>
      <c r="BF124" s="75"/>
      <c r="BG124" s="75"/>
      <c r="BH124" s="29"/>
      <c r="BI124" s="99"/>
      <c r="BJ124" s="98"/>
      <c r="BK124" s="28" t="str">
        <f aca="false">IF(OR(Tasks[[#This Row],[Task Name]]="",Tasks[[#This Row],[Baseline Duration]]=""),"",Tasks[[#This Row],[BL Source Duration]]-N(Tasks[[#This Row],[Baseline Duration]]))</f>
        <v/>
      </c>
      <c r="BL124" s="96" t="str">
        <f aca="false">IF(OR(Tasks[[#This Row],[Task Name]]="",Tasks[[#This Row],[Baseline Work]]=""),"",Tasks[[#This Row],[Work]]-N(Tasks[[#This Row],[Baseline Work]]))</f>
        <v/>
      </c>
      <c r="BM124" s="97" t="str">
        <f aca="false">IF(OR(Tasks[[#This Row],[Task Name]]="",Tasks[[#This Row],[Baseline Cost]]=""),"",Tasks[[#This Row],[Cost]]-N(Tasks[[#This Row],[Baseline Cost]]))</f>
        <v/>
      </c>
      <c r="BN124" s="97" t="str">
        <f aca="false">IF(Tasks[[#This Row],[Task Name]]="","",IF(Tasks[[#This Row],[_IsSummary]],SUM(INDEX(Tasks[_LeafBudget],Tasks[[#This Row],[_Row]]+1):INDEX(Tasks[_LeafBudget],Tasks[[#This Row],[_Row]]+Tasks[[#This Row],[_Descendants]])),Tasks[[#This Row],[_LeafBudget]]))</f>
        <v/>
      </c>
      <c r="BO124" s="97" t="str">
        <f aca="false">IF(Tasks[[#This Row],[Task Name]]="","",IF(Tasks[[#This Row],[_IsSummary]],SUM(INDEX(Tasks[_LeafPV],Tasks[[#This Row],[_Row]]+1):INDEX(Tasks[_LeafPV],Tasks[[#This Row],[_Row]]+Tasks[[#This Row],[_Descendants]])),Tasks[[#This Row],[_LeafPV]]))</f>
        <v/>
      </c>
      <c r="BP124" s="97" t="str">
        <f aca="false">IF(Tasks[[#This Row],[Task Name]]="","",IF(Tasks[[#This Row],[_IsSummary]],SUM(INDEX(Tasks[_LeafEV],Tasks[[#This Row],[_Row]]+1):INDEX(Tasks[_LeafEV],Tasks[[#This Row],[_Row]]+Tasks[[#This Row],[_Descendants]])),Tasks[[#This Row],[_LeafEV]]))</f>
        <v/>
      </c>
      <c r="BQ124" s="97" t="str">
        <f aca="false">IF(Tasks[[#This Row],[Task Name]]="","",IF(Tasks[[#This Row],[_IsSummary]],SUM(INDEX(Tasks[_LeafAC],Tasks[[#This Row],[_Row]]+1):INDEX(Tasks[_LeafAC],Tasks[[#This Row],[_Row]]+Tasks[[#This Row],[_Descendants]])),Tasks[[#This Row],[_LeafAC]]))</f>
        <v/>
      </c>
      <c r="BR124" s="41" t="str">
        <f aca="false">IF(Tasks[[#This Row],[Task Name]]="","",MAX(1,N(Tasks[[#This Row],[Level]])))</f>
        <v/>
      </c>
      <c r="BS124" s="41" t="n">
        <f aca="false">ROW()-ROW(Tasks[[#Headers],[ID]])</f>
        <v>119</v>
      </c>
      <c r="BT124" s="41" t="n">
        <f aca="false">IF(OR(Tasks[[#This Row],[Task Name]]="",Tasks[[#This Row],[_Level]]&lt;=1),0,IFERROR(LOOKUP(2,1/(Tasks[[#Headers],[_Level]]:Tasks[[#This Row],[_Level]]=Tasks[[#This Row],[_Level]]-1),ROW(Tasks[[#Headers],[_Level]]:Tasks[[#This Row],[_Level]])),0))</f>
        <v>0</v>
      </c>
      <c r="BU124" s="41" t="n">
        <f aca="false">IFERROR(N(INDEX(Tasks[_Level],Tasks[[#This Row],[_Row]]+1)),0)</f>
        <v>0</v>
      </c>
      <c r="BV124" s="100" t="b">
        <f aca="false">AND(Tasks[[#This Row],[Task Name]]&lt;&gt;"",Tasks[[#This Row],[_NextLevel]]&gt;Tasks[[#This Row],[_Level]])</f>
        <v>0</v>
      </c>
      <c r="BW124" s="41" t="n">
        <f aca="false">IF(Tasks[[#This Row],[_IsSummary]],COUNTIF(Tasks[WBS],Tasks[[#This Row],[WBS]]&amp;".*"),0)</f>
        <v>0</v>
      </c>
      <c r="BX124" s="41" t="n">
        <f aca="false">IF(AND(Tasks[[#This Row],[Task Name]]&lt;&gt;"",NOT(Tasks[[#This Row],[_IsSummary]])),1,0)</f>
        <v>0</v>
      </c>
      <c r="BY124" s="41" t="n">
        <f aca="false">IF(N(Tasks[[#This Row],[Pred1 UID]])=0,0,IFERROR(MATCH(Tasks[[#This Row],[Pred1 UID]],Tasks[UID],0),-1))</f>
        <v>0</v>
      </c>
      <c r="BZ124" s="41" t="n">
        <f aca="false">IF(N(Tasks[[#This Row],[Pred2 UID]])=0,0,IFERROR(MATCH(Tasks[[#This Row],[Pred2 UID]],Tasks[UID],0),-1))</f>
        <v>0</v>
      </c>
      <c r="CA124" s="41" t="n">
        <f aca="false">IF(N(Tasks[[#This Row],[Pred3 UID]])=0,0,IFERROR(MATCH(Tasks[[#This Row],[Pred3 UID]],Tasks[UID],0),-1))</f>
        <v>0</v>
      </c>
      <c r="CB124" s="41" t="n">
        <f aca="false">IF(N(Tasks[[#This Row],[Pred4 UID]])=0,0,IFERROR(MATCH(Tasks[[#This Row],[Pred4 UID]],Tasks[UID],0),-1))</f>
        <v>0</v>
      </c>
      <c r="CC1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4" s="101" t="n">
        <f aca="false">IF(OR(Tasks[[#This Row],[_ConstraintCode]]=2,Tasks[[#This Row],[_ConstraintCode]]=3,Tasks[[#This Row],[_ConstraintCode]]=4,Tasks[[#This Row],[_ConstraintCode]]=6),Tasks[[#This Row],[_ConstraintStart]],0)</f>
        <v>0</v>
      </c>
      <c r="CF124" s="101" t="n">
        <f aca="false">IF(OR(Tasks[[#This Row],[_ConstraintCode]]=2,Tasks[[#This Row],[_ConstraintCode]]=3,Tasks[[#This Row],[_ConstraintCode]]=5,Tasks[[#This Row],[_ConstraintCode]]=7),Tasks[[#This Row],[_ConstraintStart]],2958465)</f>
        <v>2958465</v>
      </c>
      <c r="CG12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4" s="101" t="str">
        <f aca="false">IF(NOT(Tasks[[#This Row],[_IsLeaf]]=1),"",IF(N(Tasks[[#This Row],[Duration]])&lt;=0,Tasks[[#This Row],[_LeafCalcStart]],WORKDAY.INTL(Tasks[[#This Row],[_LeafCalcStart]],Tasks[[#This Row],[Duration]]-1,WorkWeek,Holidays)))</f>
        <v/>
      </c>
      <c r="CI12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4" s="41" t="n">
        <f aca="false">IF(NOT(Tasks[[#This Row],[_IsLeaf]]=1),0,IF(N(Tasks[[#This Row],[Actual Finish]])&gt;0,1,MIN(1,N(Tasks[[#This Row],[% Complete]]))))</f>
        <v>0</v>
      </c>
      <c r="CL124" s="41" t="n">
        <f aca="false">IF(OR(NOT(Tasks[[#This Row],[_IsLeaf]]=1),Tasks[[#This Row],[Resource]]=""),0,N(Tasks[[#This Row],[Duration]])*HoursPerDay*IF(Tasks[[#This Row],[Units]]="",DefaultUnits,Tasks[[#This Row],[Units]]))</f>
        <v>0</v>
      </c>
      <c r="CM124" s="41" t="n">
        <f aca="false">IF(Tasks[[#This Row],[_LeafWork]]=0,0,Tasks[[#This Row],[_LeafWork]]*IFERROR(INDEX(res_Rate,MATCH(Tasks[[#This Row],[Resource]],res_Name,0)),0))</f>
        <v>0</v>
      </c>
      <c r="CN124" s="41" t="n">
        <f aca="false">Tasks[[#This Row],[_LeafWork]]+IF(Tasks[[#This Row],[_IsLeaf]]=1,SUMIFS(asg_Work,asg_TaskUID,Tasks[[#This Row],[UID]],asg_Valid,1),0)</f>
        <v>0</v>
      </c>
      <c r="CO124" s="41" t="n">
        <f aca="false">Tasks[[#This Row],[_LeafCost]]+IF(Tasks[[#This Row],[_IsLeaf]]=1,SUMIFS(asg_Cost,asg_TaskUID,Tasks[[#This Row],[UID]],asg_Valid,1),0)</f>
        <v>0</v>
      </c>
      <c r="CP124" s="41" t="n">
        <f aca="false">IF(Tasks[[#This Row],[_LeafTotalCost]]=0,Tasks[[#This Row],[_LeafAC]],Tasks[[#This Row],[_LeafAC]]*Tasks[[#This Row],[_LeafCost]]/Tasks[[#This Row],[_LeafTotalCost]])</f>
        <v>0</v>
      </c>
      <c r="CQ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4" s="41" t="n">
        <f aca="false">IF(NOT(Tasks[[#This Row],[_IsLeaf]]=1),0,MAX(_xlfn.MAXIFS(Tasks[_Row],Tasks[Pred1 UID],Tasks[[#This Row],[UID]]),_xlfn.MAXIFS(Tasks[_Row],Tasks[Pred2 UID],Tasks[[#This Row],[UID]]),_xlfn.MAXIFS(Tasks[_Row],Tasks[Pred3 UID],Tasks[[#This Row],[UID]]),_xlfn.MAXIFS(Tasks[_Row],Tasks[Pred4 UID],Tasks[[#This Row],[UID]])))</f>
        <v>0</v>
      </c>
      <c r="CZ1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4" s="101" t="str">
        <f aca="false">IF(NOT(Tasks[[#This Row],[_IsLeaf]]=1),"",IF(N(Tasks[[#This Row],[Duration]])&lt;=0,Tasks[[#This Row],[_LeafLateFinish]],WORKDAY.INTL(Tasks[[#This Row],[_LeafLateFinish]],-(Tasks[[#This Row],[Duration]]-1),WorkWeek,Holidays)))</f>
        <v/>
      </c>
      <c r="DC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4" s="100" t="b">
        <f aca="false">AND(Tasks[[#This Row],[_IsLeaf]]=1,Tasks[[#This Row],[_LeafProgress]]&lt;1,N(Tasks[[#This Row],[_LeafTotalSlack]])&lt;=CriticalSlackDays)</f>
        <v>0</v>
      </c>
      <c r="DE124" s="41" t="n">
        <f aca="false">IF(AND(Tasks[[#This Row],[_IsLeaf]]=1,Tasks[[#This Row],[_ConstraintCode]]=1,Tasks[[#This Row],[Mode]]&lt;&gt;"Manual",N(Tasks[[#This Row],[Actual Start]])=0),MAX(0,N(Tasks[[#This Row],[Free Slack]])),0)</f>
        <v>0</v>
      </c>
      <c r="DF124" s="101" t="str">
        <f aca="false">IF(NOT(Tasks[[#This Row],[_IsLeaf]]=1),"",IF(Tasks[[#This Row],[_AlapShift]]=0,Tasks[[#This Row],[_LeafCalcStart]],WORKDAY.INTL(Tasks[[#This Row],[_LeafCalcStart]],Tasks[[#This Row],[_AlapShift]],WorkWeek,Holidays)))</f>
        <v/>
      </c>
      <c r="DG124" s="101" t="str">
        <f aca="false">IF(NOT(Tasks[[#This Row],[_IsLeaf]]=1),"",IF(Tasks[[#This Row],[_AlapShift]]=0,Tasks[[#This Row],[_LeafCalcFinish]],WORKDAY.INTL(Tasks[[#This Row],[_LeafCalcFinish]],Tasks[[#This Row],[_AlapShift]],WorkWeek,Holidays)))</f>
        <v/>
      </c>
      <c r="DH124" s="101" t="str">
        <f aca="false">IF(NOT(Tasks[[#This Row],[_IsLeaf]]=1),"",IF(Tasks[[#This Row],[_AlapShift]]=0,Tasks[[#This Row],[_LeafFcstStart]],WORKDAY.INTL(Tasks[[#This Row],[_LeafFcstStart]],Tasks[[#This Row],[_AlapShift]],WorkWeek,Holidays)))</f>
        <v/>
      </c>
      <c r="DI124" s="101" t="str">
        <f aca="false">IF(NOT(Tasks[[#This Row],[_IsLeaf]]=1),"",IF(Tasks[[#This Row],[_AlapShift]]=0,Tasks[[#This Row],[_LeafFcstFinish]],WORKDAY.INTL(Tasks[[#This Row],[_LeafFcstFinish]],Tasks[[#This Row],[_AlapShift]],WorkWeek,Holidays)))</f>
        <v/>
      </c>
      <c r="DJ124" s="101" t="str">
        <f aca="false">IF(Tasks[[#This Row],[Task Name]]="","",IF(Tasks[[#This Row],[_IsSummary]],MIN(INDEX(Tasks[_ShownCalcStart],Tasks[[#This Row],[_Row]]+1):INDEX(Tasks[_ShownCalcStart],Tasks[[#This Row],[_Row]]+Tasks[[#This Row],[_Descendants]])),Tasks[[#This Row],[_ShownCalcStart]]))</f>
        <v/>
      </c>
      <c r="DK124" s="101" t="str">
        <f aca="false">IF(Tasks[[#This Row],[Task Name]]="","",IF(Tasks[[#This Row],[_IsSummary]],MAX(INDEX(Tasks[_ShownCalcFinish],Tasks[[#This Row],[_Row]]+1):INDEX(Tasks[_ShownCalcFinish],Tasks[[#This Row],[_Row]]+Tasks[[#This Row],[_Descendants]])),Tasks[[#This Row],[_ShownCalcFinish]]))</f>
        <v/>
      </c>
      <c r="D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4" s="41" t="n">
        <f aca="false">IF(AND(Tasks[[#This Row],[_IsLeaf]]=1,Tasks[[#This Row],[_LeafTotalWork]]&gt;0),NETWORKDAYS.INTL(ProjectStart,Tasks[[#This Row],[_ShownFcstStart]],WorkWeek,Holidays),0)</f>
        <v>0</v>
      </c>
      <c r="DY124" s="41" t="n">
        <f aca="false">IF(AND(Tasks[[#This Row],[_IsLeaf]]=1,Tasks[[#This Row],[_LeafTotalWork]]&gt;0),MAX(Tasks[[#This Row],[_StartWorkday]],NETWORKDAYS.INTL(ProjectStart,Tasks[[#This Row],[_ShownFcstFinish]],WorkWeek,Holidays)),0)</f>
        <v>0</v>
      </c>
      <c r="DZ124" s="41" t="n">
        <f aca="false">IF(AND(Tasks[[#This Row],[_IsLeaf]]=1,Tasks[[#This Row],[_LeafTotalWork]]&gt;0),Tasks[[#This Row],[_LeafWork]]/(Tasks[[#This Row],[_FinishWorkday]]-Tasks[[#This Row],[_StartWorkday]]+1),0)</f>
        <v>0</v>
      </c>
      <c r="EA124" s="41" t="n">
        <f aca="false">Tasks[[#This Row],[_WorkPerWorkday]]*(Tasks[[#This Row],[_StartWorkday]]-1)</f>
        <v>-0</v>
      </c>
      <c r="EB124" s="41" t="n">
        <f aca="false">IF(Tasks[[#This Row],[_IsLeaf]]=1,MAX(N(Tasks[[#This Row],[Duration]]),0.1),0)</f>
        <v>0</v>
      </c>
      <c r="EC124" s="41" t="n">
        <f aca="false">Tasks[[#This Row],[_WeightDur]]*Tasks[[#This Row],[_LeafProgress]]</f>
        <v>0</v>
      </c>
      <c r="ED1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4" s="41" t="str">
        <f aca="false">IF(AND(Tasks[[#This Row],[_IsLeaf]]=1,N(Tasks[[#This Row],[Duration]])=0,Tasks[[#This Row],[_LeafProgress]]&lt;1),Tasks[[#This Row],[_ShownFcstFinish]]+Tasks[[#This Row],[_Row]]/100000,"")</f>
        <v/>
      </c>
      <c r="EF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4" s="41" t="n">
        <f aca="false">IF(NOT(Tasks[[#This Row],[_IsLeaf]]=1),0,IF(Tasks[[#This Row],[Baseline Cost]]="",Tasks[[#This Row],[_LeafTotalCost]],N(Tasks[[#This Row],[Baseline Cost]])))</f>
        <v>0</v>
      </c>
      <c r="EH124" s="41" t="n">
        <f aca="false">Tasks[[#This Row],[_LeafBudget]]*Tasks[[#This Row],[_PlannedPct]]</f>
        <v>0</v>
      </c>
      <c r="EI124" s="41" t="n">
        <f aca="false">Tasks[[#This Row],[_LeafBudget]]*Tasks[[#This Row],[_LeafProgress]]</f>
        <v>0</v>
      </c>
      <c r="EJ124" s="41" t="n">
        <f aca="false">IF(NOT(Tasks[[#This Row],[_IsLeaf]]=1),0,IF(Tasks[[#This Row],[Actual Cost]]="",Tasks[[#This Row],[_LeafTotalCost]]*Tasks[[#This Row],[_LeafProgress]],N(Tasks[[#This Row],[Actual Cost]])))</f>
        <v>0</v>
      </c>
      <c r="EK124" s="41" t="str">
        <f aca="false">IF(Tasks[[#This Row],[Task Name]]="","",LEFT(Tasks[[#This Row],[WBS]],FIND(".",Tasks[[#This Row],[WBS]]&amp;".")-1))</f>
        <v/>
      </c>
      <c r="EL124" s="41" t="str">
        <f aca="false">IF(AND(Tasks[[#This Row],[Task Name]]&lt;&gt;"",Tasks[[#This Row],[_Level]]=1),Tasks[[#This Row],[_Row]],"")</f>
        <v/>
      </c>
      <c r="EM124" s="41" t="str">
        <f aca="false">IF(AND(Tasks[[#This Row],[_IsLeaf]]=1,N(Tasks[[#This Row],[Duration]])=0),Tasks[[#This Row],[Planned Finish]]+Tasks[[#This Row],[_Row]]/100000,"")</f>
        <v/>
      </c>
      <c r="EN124" s="41" t="str">
        <f aca="false">IF(AND(Tasks[[#This Row],[_IsLeaf]]=1,Tasks[[#This Row],[_LeafProgress]]&lt;1,OR(N(Tasks[[#This Row],[Finish Var]])&gt;0,Tasks[[#This Row],[Status]]="Late Start")),MAX(0,Tasks[[#This Row],[Finish Var]])+1-Tasks[[#This Row],[_Row]]/1000000,"")</f>
        <v/>
      </c>
      <c r="EO124" s="41" t="str">
        <f aca="false">IF(AND(Tasks[[#This Row],[_IsLeaf]]=1,N(Tasks[[#This Row],[Actual Start]])=0,Tasks[[#This Row],[_ShownFcstStart]]&gt;=StatusDate,Tasks[[#This Row],[_ShownFcstStart]]&lt;=LookaheadEnd),Tasks[[#This Row],[_ShownFcstStart]]+Tasks[[#This Row],[_Row]]/100000,"")</f>
        <v/>
      </c>
      <c r="EP124" s="41" t="str">
        <f aca="false">IF(AND(Tasks[[#This Row],[_IsLeaf]]=1,Tasks[[#This Row],[_LeafProgress]]&lt;1,Tasks[[#This Row],[_ShownFcstFinish]]&gt;=StatusDate,Tasks[[#This Row],[_ShownFcstFinish]]&lt;=LookaheadEnd),Tasks[[#This Row],[_ShownFcstFinish]]+Tasks[[#This Row],[_Row]]/100000,"")</f>
        <v/>
      </c>
      <c r="EQ124" s="41" t="str">
        <f aca="false">IF(Tasks[[#This Row],[_LeafCritical]],Tasks[[#This Row],[_ShownFcstStart]]+Tasks[[#This Row],[_Row]]/100000,"")</f>
        <v/>
      </c>
      <c r="ER124" s="41" t="n">
        <f aca="false">Tasks[[#This Row],[_LeafWork]]*Tasks[[#This Row],[_LeafProgress]]</f>
        <v>0</v>
      </c>
      <c r="ES124" s="101" t="str">
        <f aca="false">IF(AND(Tasks[[#This Row],[_IsLeaf]]=1,Tasks[[#This Row],[_LeafProgress]]&gt;=1),IF(N(Tasks[[#This Row],[Actual Finish]])&gt;0,Tasks[[#This Row],[Actual Finish]],Tasks[[#This Row],[_ShownFcstFinish]]),"")</f>
        <v/>
      </c>
      <c r="ET124" s="41" t="n">
        <f aca="false">IF(Tasks[[#This Row],[_IsLeaf]]=1,N(Tasks[[#This Row],[Story Points]]),0)</f>
        <v>0</v>
      </c>
      <c r="EU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29"/>
      <c r="O125" s="29"/>
      <c r="P125" s="29"/>
      <c r="Q125" s="29"/>
      <c r="R125" s="29"/>
      <c r="S125" s="29"/>
      <c r="T125" s="30"/>
      <c r="U125" s="75"/>
      <c r="V125" s="75"/>
      <c r="W125" s="25" t="str">
        <f aca="false">IF(Tasks[[#This Row],[Task Name]]="","",IF(N(Tasks[[#This Row],[Baseline Start]])&gt;0,Tasks[[#This Row],[Baseline Start]],Tasks[[#This Row],[_CalcStart]]))</f>
        <v/>
      </c>
      <c r="X125" s="25" t="str">
        <f aca="false">IF(Tasks[[#This Row],[Task Name]]="","",IF(N(Tasks[[#This Row],[Baseline Finish]])&gt;0,Tasks[[#This Row],[Baseline Finish]],Tasks[[#This Row],[_CalcFinish]]))</f>
        <v/>
      </c>
      <c r="Y125" s="75"/>
      <c r="Z125" s="75"/>
      <c r="AA125" s="25" t="str">
        <f aca="false">IF(Tasks[[#This Row],[Task Name]]="","",IF(Tasks[[#This Row],[_IsSummary]],MIN(INDEX(Tasks[_ShownFcstStart],Tasks[[#This Row],[_Row]]+1):INDEX(Tasks[_ShownFcstStart],Tasks[[#This Row],[_Row]]+Tasks[[#This Row],[_Descendants]])),Tasks[[#This Row],[_ShownFcstStart]]))</f>
        <v/>
      </c>
      <c r="AB125" s="25" t="str">
        <f aca="false">IF(Tasks[[#This Row],[Task Name]]="","",IF(Tasks[[#This Row],[_IsSummary]],MAX(INDEX(Tasks[_ShownFcstFinish],Tasks[[#This Row],[_Row]]+1):INDEX(Tasks[_ShownFcstFinish],Tasks[[#This Row],[_Row]]+Tasks[[#This Row],[_Descendants]])),Tasks[[#This Row],[_ShownFcstFinish]]))</f>
        <v/>
      </c>
      <c r="AC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5" s="25" t="str">
        <f aca="false">IF(Tasks[[#This Row],[Task Name]]="","",IF(Tasks[[#This Row],[_IsSummary]],MIN(INDEX(Tasks[_LeafLateStart],Tasks[[#This Row],[_Row]]+1):INDEX(Tasks[_LeafLateStart],Tasks[[#This Row],[_Row]]+Tasks[[#This Row],[_Descendants]])),Tasks[[#This Row],[_LeafLateStart]]))</f>
        <v/>
      </c>
      <c r="AF125" s="25" t="str">
        <f aca="false">IF(Tasks[[#This Row],[Task Name]]="","",IF(Tasks[[#This Row],[_IsSummary]],MAX(INDEX(Tasks[_LeafLateFinish],Tasks[[#This Row],[_Row]]+1):INDEX(Tasks[_LeafLateFinish],Tasks[[#This Row],[_Row]]+Tasks[[#This Row],[_Descendants]])),Tasks[[#This Row],[_LeafLateFinish]]))</f>
        <v/>
      </c>
      <c r="AG125" s="28" t="str">
        <f aca="false">IF(Tasks[[#This Row],[Task Name]]="","",IF(Tasks[[#This Row],[_IsSummary]],MIN(INDEX(Tasks[_LeafTotalSlack],Tasks[[#This Row],[_Row]]+1):INDEX(Tasks[_LeafTotalSlack],Tasks[[#This Row],[_Row]]+Tasks[[#This Row],[_Descendants]])),Tasks[[#This Row],[_LeafTotalSlack]]))</f>
        <v/>
      </c>
      <c r="AH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5" s="28" t="str">
        <f aca="false">IF(Tasks[[#This Row],[Task Name]]="","",IF(IF(Tasks[[#This Row],[_IsSummary]],COUNTIF(INDEX(Tasks[_LeafCritical],Tasks[[#This Row],[_Row]]+1):INDEX(Tasks[_LeafCritical],Tasks[[#This Row],[_Row]]+Tasks[[#This Row],[_Descendants]]),TRUE())&gt;0,Tasks[[#This Row],[_LeafCritical]]),"Yes",""))</f>
        <v/>
      </c>
      <c r="AJ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5" s="89"/>
      <c r="AM1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5" s="28" t="str">
        <f aca="false">IF(Tasks[[#This Row],[Task Name]]="","",IF(Tasks[[#This Row],[Progress]]&gt;=1,"Complete",IF(OR(N(Tasks[[#This Row],[Actual Start]])&gt;0,Tasks[[#This Row],[Progress]]&gt;0),IF(Tasks[[#This Row],[Finish Var]]&gt;0,"Behind","In Progress"),IF(Tasks[[#This Row],[Planned Start]]&lt;StatusDate,"Late Start","Not Started"))))</f>
        <v/>
      </c>
      <c r="AO125" s="30"/>
      <c r="AP125" s="89"/>
      <c r="AQ1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5" s="96" t="str">
        <f aca="false">IF(Tasks[[#This Row],[Task Name]]="","",IF(Tasks[[#This Row],[_IsSummary]],SUM(INDEX(Tasks[_LeafTotalWork],Tasks[[#This Row],[_Row]]+1):INDEX(Tasks[_LeafTotalWork],Tasks[[#This Row],[_Row]]+Tasks[[#This Row],[_Descendants]])),Tasks[[#This Row],[_LeafTotalWork]]))</f>
        <v/>
      </c>
      <c r="AT125" s="97" t="str">
        <f aca="false">IF(Tasks[[#This Row],[Task Name]]="","",IF(Tasks[[#This Row],[_IsSummary]],SUM(INDEX(Tasks[_LeafTotalCost],Tasks[[#This Row],[_Row]]+1):INDEX(Tasks[_LeafTotalCost],Tasks[[#This Row],[_Row]]+Tasks[[#This Row],[_Descendants]])),Tasks[[#This Row],[_LeafTotalCost]]))</f>
        <v/>
      </c>
      <c r="AU125" s="98"/>
      <c r="AV125" s="29"/>
      <c r="AW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5" s="83"/>
      <c r="AY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5" s="30"/>
      <c r="BA125" s="25" t="str">
        <f aca="false">IF(Tasks[[#This Row],[Task Name]]="","",Tasks[[#This Row],[Forecast Start]])</f>
        <v/>
      </c>
      <c r="BB125" s="25" t="str">
        <f aca="false">IF(Tasks[[#This Row],[Task Name]]="","",Tasks[[#This Row],[Forecast Finish]])</f>
        <v/>
      </c>
      <c r="BC125" s="28" t="str">
        <f aca="false">IF(Tasks[[#This Row],[Task Name]]="","",IF(Tasks[[#This Row],[_IsSummary]],NETWORKDAYS.INTL(Tasks[[#This Row],[Forecast Start]],Tasks[[#This Row],[Forecast Finish]],WorkWeek,Holidays),N(Tasks[[#This Row],[Duration]])))</f>
        <v/>
      </c>
      <c r="BD125" s="96" t="str">
        <f aca="false">IF(Tasks[[#This Row],[Task Name]]="","",Tasks[[#This Row],[Work]])</f>
        <v/>
      </c>
      <c r="BE125" s="97" t="str">
        <f aca="false">IF(Tasks[[#This Row],[Task Name]]="","",Tasks[[#This Row],[Cost]])</f>
        <v/>
      </c>
      <c r="BF125" s="75"/>
      <c r="BG125" s="75"/>
      <c r="BH125" s="29"/>
      <c r="BI125" s="99"/>
      <c r="BJ125" s="98"/>
      <c r="BK125" s="28" t="str">
        <f aca="false">IF(OR(Tasks[[#This Row],[Task Name]]="",Tasks[[#This Row],[Baseline Duration]]=""),"",Tasks[[#This Row],[BL Source Duration]]-N(Tasks[[#This Row],[Baseline Duration]]))</f>
        <v/>
      </c>
      <c r="BL125" s="96" t="str">
        <f aca="false">IF(OR(Tasks[[#This Row],[Task Name]]="",Tasks[[#This Row],[Baseline Work]]=""),"",Tasks[[#This Row],[Work]]-N(Tasks[[#This Row],[Baseline Work]]))</f>
        <v/>
      </c>
      <c r="BM125" s="97" t="str">
        <f aca="false">IF(OR(Tasks[[#This Row],[Task Name]]="",Tasks[[#This Row],[Baseline Cost]]=""),"",Tasks[[#This Row],[Cost]]-N(Tasks[[#This Row],[Baseline Cost]]))</f>
        <v/>
      </c>
      <c r="BN125" s="97" t="str">
        <f aca="false">IF(Tasks[[#This Row],[Task Name]]="","",IF(Tasks[[#This Row],[_IsSummary]],SUM(INDEX(Tasks[_LeafBudget],Tasks[[#This Row],[_Row]]+1):INDEX(Tasks[_LeafBudget],Tasks[[#This Row],[_Row]]+Tasks[[#This Row],[_Descendants]])),Tasks[[#This Row],[_LeafBudget]]))</f>
        <v/>
      </c>
      <c r="BO125" s="97" t="str">
        <f aca="false">IF(Tasks[[#This Row],[Task Name]]="","",IF(Tasks[[#This Row],[_IsSummary]],SUM(INDEX(Tasks[_LeafPV],Tasks[[#This Row],[_Row]]+1):INDEX(Tasks[_LeafPV],Tasks[[#This Row],[_Row]]+Tasks[[#This Row],[_Descendants]])),Tasks[[#This Row],[_LeafPV]]))</f>
        <v/>
      </c>
      <c r="BP125" s="97" t="str">
        <f aca="false">IF(Tasks[[#This Row],[Task Name]]="","",IF(Tasks[[#This Row],[_IsSummary]],SUM(INDEX(Tasks[_LeafEV],Tasks[[#This Row],[_Row]]+1):INDEX(Tasks[_LeafEV],Tasks[[#This Row],[_Row]]+Tasks[[#This Row],[_Descendants]])),Tasks[[#This Row],[_LeafEV]]))</f>
        <v/>
      </c>
      <c r="BQ125" s="97" t="str">
        <f aca="false">IF(Tasks[[#This Row],[Task Name]]="","",IF(Tasks[[#This Row],[_IsSummary]],SUM(INDEX(Tasks[_LeafAC],Tasks[[#This Row],[_Row]]+1):INDEX(Tasks[_LeafAC],Tasks[[#This Row],[_Row]]+Tasks[[#This Row],[_Descendants]])),Tasks[[#This Row],[_LeafAC]]))</f>
        <v/>
      </c>
      <c r="BR125" s="41" t="str">
        <f aca="false">IF(Tasks[[#This Row],[Task Name]]="","",MAX(1,N(Tasks[[#This Row],[Level]])))</f>
        <v/>
      </c>
      <c r="BS125" s="41" t="n">
        <f aca="false">ROW()-ROW(Tasks[[#Headers],[ID]])</f>
        <v>120</v>
      </c>
      <c r="BT125" s="41" t="n">
        <f aca="false">IF(OR(Tasks[[#This Row],[Task Name]]="",Tasks[[#This Row],[_Level]]&lt;=1),0,IFERROR(LOOKUP(2,1/(Tasks[[#Headers],[_Level]]:Tasks[[#This Row],[_Level]]=Tasks[[#This Row],[_Level]]-1),ROW(Tasks[[#Headers],[_Level]]:Tasks[[#This Row],[_Level]])),0))</f>
        <v>0</v>
      </c>
      <c r="BU125" s="41" t="n">
        <f aca="false">IFERROR(N(INDEX(Tasks[_Level],Tasks[[#This Row],[_Row]]+1)),0)</f>
        <v>0</v>
      </c>
      <c r="BV125" s="100" t="b">
        <f aca="false">AND(Tasks[[#This Row],[Task Name]]&lt;&gt;"",Tasks[[#This Row],[_NextLevel]]&gt;Tasks[[#This Row],[_Level]])</f>
        <v>0</v>
      </c>
      <c r="BW125" s="41" t="n">
        <f aca="false">IF(Tasks[[#This Row],[_IsSummary]],COUNTIF(Tasks[WBS],Tasks[[#This Row],[WBS]]&amp;".*"),0)</f>
        <v>0</v>
      </c>
      <c r="BX125" s="41" t="n">
        <f aca="false">IF(AND(Tasks[[#This Row],[Task Name]]&lt;&gt;"",NOT(Tasks[[#This Row],[_IsSummary]])),1,0)</f>
        <v>0</v>
      </c>
      <c r="BY125" s="41" t="n">
        <f aca="false">IF(N(Tasks[[#This Row],[Pred1 UID]])=0,0,IFERROR(MATCH(Tasks[[#This Row],[Pred1 UID]],Tasks[UID],0),-1))</f>
        <v>0</v>
      </c>
      <c r="BZ125" s="41" t="n">
        <f aca="false">IF(N(Tasks[[#This Row],[Pred2 UID]])=0,0,IFERROR(MATCH(Tasks[[#This Row],[Pred2 UID]],Tasks[UID],0),-1))</f>
        <v>0</v>
      </c>
      <c r="CA125" s="41" t="n">
        <f aca="false">IF(N(Tasks[[#This Row],[Pred3 UID]])=0,0,IFERROR(MATCH(Tasks[[#This Row],[Pred3 UID]],Tasks[UID],0),-1))</f>
        <v>0</v>
      </c>
      <c r="CB125" s="41" t="n">
        <f aca="false">IF(N(Tasks[[#This Row],[Pred4 UID]])=0,0,IFERROR(MATCH(Tasks[[#This Row],[Pred4 UID]],Tasks[UID],0),-1))</f>
        <v>0</v>
      </c>
      <c r="CC1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5" s="101" t="n">
        <f aca="false">IF(OR(Tasks[[#This Row],[_ConstraintCode]]=2,Tasks[[#This Row],[_ConstraintCode]]=3,Tasks[[#This Row],[_ConstraintCode]]=4,Tasks[[#This Row],[_ConstraintCode]]=6),Tasks[[#This Row],[_ConstraintStart]],0)</f>
        <v>0</v>
      </c>
      <c r="CF125" s="101" t="n">
        <f aca="false">IF(OR(Tasks[[#This Row],[_ConstraintCode]]=2,Tasks[[#This Row],[_ConstraintCode]]=3,Tasks[[#This Row],[_ConstraintCode]]=5,Tasks[[#This Row],[_ConstraintCode]]=7),Tasks[[#This Row],[_ConstraintStart]],2958465)</f>
        <v>2958465</v>
      </c>
      <c r="CG12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5" s="101" t="str">
        <f aca="false">IF(NOT(Tasks[[#This Row],[_IsLeaf]]=1),"",IF(N(Tasks[[#This Row],[Duration]])&lt;=0,Tasks[[#This Row],[_LeafCalcStart]],WORKDAY.INTL(Tasks[[#This Row],[_LeafCalcStart]],Tasks[[#This Row],[Duration]]-1,WorkWeek,Holidays)))</f>
        <v/>
      </c>
      <c r="CI12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5" s="41" t="n">
        <f aca="false">IF(NOT(Tasks[[#This Row],[_IsLeaf]]=1),0,IF(N(Tasks[[#This Row],[Actual Finish]])&gt;0,1,MIN(1,N(Tasks[[#This Row],[% Complete]]))))</f>
        <v>0</v>
      </c>
      <c r="CL125" s="41" t="n">
        <f aca="false">IF(OR(NOT(Tasks[[#This Row],[_IsLeaf]]=1),Tasks[[#This Row],[Resource]]=""),0,N(Tasks[[#This Row],[Duration]])*HoursPerDay*IF(Tasks[[#This Row],[Units]]="",DefaultUnits,Tasks[[#This Row],[Units]]))</f>
        <v>0</v>
      </c>
      <c r="CM125" s="41" t="n">
        <f aca="false">IF(Tasks[[#This Row],[_LeafWork]]=0,0,Tasks[[#This Row],[_LeafWork]]*IFERROR(INDEX(res_Rate,MATCH(Tasks[[#This Row],[Resource]],res_Name,0)),0))</f>
        <v>0</v>
      </c>
      <c r="CN125" s="41" t="n">
        <f aca="false">Tasks[[#This Row],[_LeafWork]]+IF(Tasks[[#This Row],[_IsLeaf]]=1,SUMIFS(asg_Work,asg_TaskUID,Tasks[[#This Row],[UID]],asg_Valid,1),0)</f>
        <v>0</v>
      </c>
      <c r="CO125" s="41" t="n">
        <f aca="false">Tasks[[#This Row],[_LeafCost]]+IF(Tasks[[#This Row],[_IsLeaf]]=1,SUMIFS(asg_Cost,asg_TaskUID,Tasks[[#This Row],[UID]],asg_Valid,1),0)</f>
        <v>0</v>
      </c>
      <c r="CP125" s="41" t="n">
        <f aca="false">IF(Tasks[[#This Row],[_LeafTotalCost]]=0,Tasks[[#This Row],[_LeafAC]],Tasks[[#This Row],[_LeafAC]]*Tasks[[#This Row],[_LeafCost]]/Tasks[[#This Row],[_LeafTotalCost]])</f>
        <v>0</v>
      </c>
      <c r="CQ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5" s="41" t="n">
        <f aca="false">IF(NOT(Tasks[[#This Row],[_IsLeaf]]=1),0,MAX(_xlfn.MAXIFS(Tasks[_Row],Tasks[Pred1 UID],Tasks[[#This Row],[UID]]),_xlfn.MAXIFS(Tasks[_Row],Tasks[Pred2 UID],Tasks[[#This Row],[UID]]),_xlfn.MAXIFS(Tasks[_Row],Tasks[Pred3 UID],Tasks[[#This Row],[UID]]),_xlfn.MAXIFS(Tasks[_Row],Tasks[Pred4 UID],Tasks[[#This Row],[UID]])))</f>
        <v>0</v>
      </c>
      <c r="CZ1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5" s="101" t="str">
        <f aca="false">IF(NOT(Tasks[[#This Row],[_IsLeaf]]=1),"",IF(N(Tasks[[#This Row],[Duration]])&lt;=0,Tasks[[#This Row],[_LeafLateFinish]],WORKDAY.INTL(Tasks[[#This Row],[_LeafLateFinish]],-(Tasks[[#This Row],[Duration]]-1),WorkWeek,Holidays)))</f>
        <v/>
      </c>
      <c r="DC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5" s="100" t="b">
        <f aca="false">AND(Tasks[[#This Row],[_IsLeaf]]=1,Tasks[[#This Row],[_LeafProgress]]&lt;1,N(Tasks[[#This Row],[_LeafTotalSlack]])&lt;=CriticalSlackDays)</f>
        <v>0</v>
      </c>
      <c r="DE125" s="41" t="n">
        <f aca="false">IF(AND(Tasks[[#This Row],[_IsLeaf]]=1,Tasks[[#This Row],[_ConstraintCode]]=1,Tasks[[#This Row],[Mode]]&lt;&gt;"Manual",N(Tasks[[#This Row],[Actual Start]])=0),MAX(0,N(Tasks[[#This Row],[Free Slack]])),0)</f>
        <v>0</v>
      </c>
      <c r="DF125" s="101" t="str">
        <f aca="false">IF(NOT(Tasks[[#This Row],[_IsLeaf]]=1),"",IF(Tasks[[#This Row],[_AlapShift]]=0,Tasks[[#This Row],[_LeafCalcStart]],WORKDAY.INTL(Tasks[[#This Row],[_LeafCalcStart]],Tasks[[#This Row],[_AlapShift]],WorkWeek,Holidays)))</f>
        <v/>
      </c>
      <c r="DG125" s="101" t="str">
        <f aca="false">IF(NOT(Tasks[[#This Row],[_IsLeaf]]=1),"",IF(Tasks[[#This Row],[_AlapShift]]=0,Tasks[[#This Row],[_LeafCalcFinish]],WORKDAY.INTL(Tasks[[#This Row],[_LeafCalcFinish]],Tasks[[#This Row],[_AlapShift]],WorkWeek,Holidays)))</f>
        <v/>
      </c>
      <c r="DH125" s="101" t="str">
        <f aca="false">IF(NOT(Tasks[[#This Row],[_IsLeaf]]=1),"",IF(Tasks[[#This Row],[_AlapShift]]=0,Tasks[[#This Row],[_LeafFcstStart]],WORKDAY.INTL(Tasks[[#This Row],[_LeafFcstStart]],Tasks[[#This Row],[_AlapShift]],WorkWeek,Holidays)))</f>
        <v/>
      </c>
      <c r="DI125" s="101" t="str">
        <f aca="false">IF(NOT(Tasks[[#This Row],[_IsLeaf]]=1),"",IF(Tasks[[#This Row],[_AlapShift]]=0,Tasks[[#This Row],[_LeafFcstFinish]],WORKDAY.INTL(Tasks[[#This Row],[_LeafFcstFinish]],Tasks[[#This Row],[_AlapShift]],WorkWeek,Holidays)))</f>
        <v/>
      </c>
      <c r="DJ125" s="101" t="str">
        <f aca="false">IF(Tasks[[#This Row],[Task Name]]="","",IF(Tasks[[#This Row],[_IsSummary]],MIN(INDEX(Tasks[_ShownCalcStart],Tasks[[#This Row],[_Row]]+1):INDEX(Tasks[_ShownCalcStart],Tasks[[#This Row],[_Row]]+Tasks[[#This Row],[_Descendants]])),Tasks[[#This Row],[_ShownCalcStart]]))</f>
        <v/>
      </c>
      <c r="DK125" s="101" t="str">
        <f aca="false">IF(Tasks[[#This Row],[Task Name]]="","",IF(Tasks[[#This Row],[_IsSummary]],MAX(INDEX(Tasks[_ShownCalcFinish],Tasks[[#This Row],[_Row]]+1):INDEX(Tasks[_ShownCalcFinish],Tasks[[#This Row],[_Row]]+Tasks[[#This Row],[_Descendants]])),Tasks[[#This Row],[_ShownCalcFinish]]))</f>
        <v/>
      </c>
      <c r="D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5" s="41" t="n">
        <f aca="false">IF(AND(Tasks[[#This Row],[_IsLeaf]]=1,Tasks[[#This Row],[_LeafTotalWork]]&gt;0),NETWORKDAYS.INTL(ProjectStart,Tasks[[#This Row],[_ShownFcstStart]],WorkWeek,Holidays),0)</f>
        <v>0</v>
      </c>
      <c r="DY125" s="41" t="n">
        <f aca="false">IF(AND(Tasks[[#This Row],[_IsLeaf]]=1,Tasks[[#This Row],[_LeafTotalWork]]&gt;0),MAX(Tasks[[#This Row],[_StartWorkday]],NETWORKDAYS.INTL(ProjectStart,Tasks[[#This Row],[_ShownFcstFinish]],WorkWeek,Holidays)),0)</f>
        <v>0</v>
      </c>
      <c r="DZ125" s="41" t="n">
        <f aca="false">IF(AND(Tasks[[#This Row],[_IsLeaf]]=1,Tasks[[#This Row],[_LeafTotalWork]]&gt;0),Tasks[[#This Row],[_LeafWork]]/(Tasks[[#This Row],[_FinishWorkday]]-Tasks[[#This Row],[_StartWorkday]]+1),0)</f>
        <v>0</v>
      </c>
      <c r="EA125" s="41" t="n">
        <f aca="false">Tasks[[#This Row],[_WorkPerWorkday]]*(Tasks[[#This Row],[_StartWorkday]]-1)</f>
        <v>-0</v>
      </c>
      <c r="EB125" s="41" t="n">
        <f aca="false">IF(Tasks[[#This Row],[_IsLeaf]]=1,MAX(N(Tasks[[#This Row],[Duration]]),0.1),0)</f>
        <v>0</v>
      </c>
      <c r="EC125" s="41" t="n">
        <f aca="false">Tasks[[#This Row],[_WeightDur]]*Tasks[[#This Row],[_LeafProgress]]</f>
        <v>0</v>
      </c>
      <c r="ED1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5" s="41" t="str">
        <f aca="false">IF(AND(Tasks[[#This Row],[_IsLeaf]]=1,N(Tasks[[#This Row],[Duration]])=0,Tasks[[#This Row],[_LeafProgress]]&lt;1),Tasks[[#This Row],[_ShownFcstFinish]]+Tasks[[#This Row],[_Row]]/100000,"")</f>
        <v/>
      </c>
      <c r="EF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5" s="41" t="n">
        <f aca="false">IF(NOT(Tasks[[#This Row],[_IsLeaf]]=1),0,IF(Tasks[[#This Row],[Baseline Cost]]="",Tasks[[#This Row],[_LeafTotalCost]],N(Tasks[[#This Row],[Baseline Cost]])))</f>
        <v>0</v>
      </c>
      <c r="EH125" s="41" t="n">
        <f aca="false">Tasks[[#This Row],[_LeafBudget]]*Tasks[[#This Row],[_PlannedPct]]</f>
        <v>0</v>
      </c>
      <c r="EI125" s="41" t="n">
        <f aca="false">Tasks[[#This Row],[_LeafBudget]]*Tasks[[#This Row],[_LeafProgress]]</f>
        <v>0</v>
      </c>
      <c r="EJ125" s="41" t="n">
        <f aca="false">IF(NOT(Tasks[[#This Row],[_IsLeaf]]=1),0,IF(Tasks[[#This Row],[Actual Cost]]="",Tasks[[#This Row],[_LeafTotalCost]]*Tasks[[#This Row],[_LeafProgress]],N(Tasks[[#This Row],[Actual Cost]])))</f>
        <v>0</v>
      </c>
      <c r="EK125" s="41" t="str">
        <f aca="false">IF(Tasks[[#This Row],[Task Name]]="","",LEFT(Tasks[[#This Row],[WBS]],FIND(".",Tasks[[#This Row],[WBS]]&amp;".")-1))</f>
        <v/>
      </c>
      <c r="EL125" s="41" t="str">
        <f aca="false">IF(AND(Tasks[[#This Row],[Task Name]]&lt;&gt;"",Tasks[[#This Row],[_Level]]=1),Tasks[[#This Row],[_Row]],"")</f>
        <v/>
      </c>
      <c r="EM125" s="41" t="str">
        <f aca="false">IF(AND(Tasks[[#This Row],[_IsLeaf]]=1,N(Tasks[[#This Row],[Duration]])=0),Tasks[[#This Row],[Planned Finish]]+Tasks[[#This Row],[_Row]]/100000,"")</f>
        <v/>
      </c>
      <c r="EN125" s="41" t="str">
        <f aca="false">IF(AND(Tasks[[#This Row],[_IsLeaf]]=1,Tasks[[#This Row],[_LeafProgress]]&lt;1,OR(N(Tasks[[#This Row],[Finish Var]])&gt;0,Tasks[[#This Row],[Status]]="Late Start")),MAX(0,Tasks[[#This Row],[Finish Var]])+1-Tasks[[#This Row],[_Row]]/1000000,"")</f>
        <v/>
      </c>
      <c r="EO125" s="41" t="str">
        <f aca="false">IF(AND(Tasks[[#This Row],[_IsLeaf]]=1,N(Tasks[[#This Row],[Actual Start]])=0,Tasks[[#This Row],[_ShownFcstStart]]&gt;=StatusDate,Tasks[[#This Row],[_ShownFcstStart]]&lt;=LookaheadEnd),Tasks[[#This Row],[_ShownFcstStart]]+Tasks[[#This Row],[_Row]]/100000,"")</f>
        <v/>
      </c>
      <c r="EP125" s="41" t="str">
        <f aca="false">IF(AND(Tasks[[#This Row],[_IsLeaf]]=1,Tasks[[#This Row],[_LeafProgress]]&lt;1,Tasks[[#This Row],[_ShownFcstFinish]]&gt;=StatusDate,Tasks[[#This Row],[_ShownFcstFinish]]&lt;=LookaheadEnd),Tasks[[#This Row],[_ShownFcstFinish]]+Tasks[[#This Row],[_Row]]/100000,"")</f>
        <v/>
      </c>
      <c r="EQ125" s="41" t="str">
        <f aca="false">IF(Tasks[[#This Row],[_LeafCritical]],Tasks[[#This Row],[_ShownFcstStart]]+Tasks[[#This Row],[_Row]]/100000,"")</f>
        <v/>
      </c>
      <c r="ER125" s="41" t="n">
        <f aca="false">Tasks[[#This Row],[_LeafWork]]*Tasks[[#This Row],[_LeafProgress]]</f>
        <v>0</v>
      </c>
      <c r="ES125" s="101" t="str">
        <f aca="false">IF(AND(Tasks[[#This Row],[_IsLeaf]]=1,Tasks[[#This Row],[_LeafProgress]]&gt;=1),IF(N(Tasks[[#This Row],[Actual Finish]])&gt;0,Tasks[[#This Row],[Actual Finish]],Tasks[[#This Row],[_ShownFcstFinish]]),"")</f>
        <v/>
      </c>
      <c r="ET125" s="41" t="n">
        <f aca="false">IF(Tasks[[#This Row],[_IsLeaf]]=1,N(Tasks[[#This Row],[Story Points]]),0)</f>
        <v>0</v>
      </c>
      <c r="EU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29"/>
      <c r="O126" s="29"/>
      <c r="P126" s="29"/>
      <c r="Q126" s="29"/>
      <c r="R126" s="29"/>
      <c r="S126" s="29"/>
      <c r="T126" s="30"/>
      <c r="U126" s="75"/>
      <c r="V126" s="75"/>
      <c r="W126" s="25" t="str">
        <f aca="false">IF(Tasks[[#This Row],[Task Name]]="","",IF(N(Tasks[[#This Row],[Baseline Start]])&gt;0,Tasks[[#This Row],[Baseline Start]],Tasks[[#This Row],[_CalcStart]]))</f>
        <v/>
      </c>
      <c r="X126" s="25" t="str">
        <f aca="false">IF(Tasks[[#This Row],[Task Name]]="","",IF(N(Tasks[[#This Row],[Baseline Finish]])&gt;0,Tasks[[#This Row],[Baseline Finish]],Tasks[[#This Row],[_CalcFinish]]))</f>
        <v/>
      </c>
      <c r="Y126" s="75"/>
      <c r="Z126" s="75"/>
      <c r="AA126" s="25" t="str">
        <f aca="false">IF(Tasks[[#This Row],[Task Name]]="","",IF(Tasks[[#This Row],[_IsSummary]],MIN(INDEX(Tasks[_ShownFcstStart],Tasks[[#This Row],[_Row]]+1):INDEX(Tasks[_ShownFcstStart],Tasks[[#This Row],[_Row]]+Tasks[[#This Row],[_Descendants]])),Tasks[[#This Row],[_ShownFcstStart]]))</f>
        <v/>
      </c>
      <c r="AB126" s="25" t="str">
        <f aca="false">IF(Tasks[[#This Row],[Task Name]]="","",IF(Tasks[[#This Row],[_IsSummary]],MAX(INDEX(Tasks[_ShownFcstFinish],Tasks[[#This Row],[_Row]]+1):INDEX(Tasks[_ShownFcstFinish],Tasks[[#This Row],[_Row]]+Tasks[[#This Row],[_Descendants]])),Tasks[[#This Row],[_ShownFcstFinish]]))</f>
        <v/>
      </c>
      <c r="AC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6" s="25" t="str">
        <f aca="false">IF(Tasks[[#This Row],[Task Name]]="","",IF(Tasks[[#This Row],[_IsSummary]],MIN(INDEX(Tasks[_LeafLateStart],Tasks[[#This Row],[_Row]]+1):INDEX(Tasks[_LeafLateStart],Tasks[[#This Row],[_Row]]+Tasks[[#This Row],[_Descendants]])),Tasks[[#This Row],[_LeafLateStart]]))</f>
        <v/>
      </c>
      <c r="AF126" s="25" t="str">
        <f aca="false">IF(Tasks[[#This Row],[Task Name]]="","",IF(Tasks[[#This Row],[_IsSummary]],MAX(INDEX(Tasks[_LeafLateFinish],Tasks[[#This Row],[_Row]]+1):INDEX(Tasks[_LeafLateFinish],Tasks[[#This Row],[_Row]]+Tasks[[#This Row],[_Descendants]])),Tasks[[#This Row],[_LeafLateFinish]]))</f>
        <v/>
      </c>
      <c r="AG126" s="28" t="str">
        <f aca="false">IF(Tasks[[#This Row],[Task Name]]="","",IF(Tasks[[#This Row],[_IsSummary]],MIN(INDEX(Tasks[_LeafTotalSlack],Tasks[[#This Row],[_Row]]+1):INDEX(Tasks[_LeafTotalSlack],Tasks[[#This Row],[_Row]]+Tasks[[#This Row],[_Descendants]])),Tasks[[#This Row],[_LeafTotalSlack]]))</f>
        <v/>
      </c>
      <c r="AH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6" s="28" t="str">
        <f aca="false">IF(Tasks[[#This Row],[Task Name]]="","",IF(IF(Tasks[[#This Row],[_IsSummary]],COUNTIF(INDEX(Tasks[_LeafCritical],Tasks[[#This Row],[_Row]]+1):INDEX(Tasks[_LeafCritical],Tasks[[#This Row],[_Row]]+Tasks[[#This Row],[_Descendants]]),TRUE())&gt;0,Tasks[[#This Row],[_LeafCritical]]),"Yes",""))</f>
        <v/>
      </c>
      <c r="AJ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6" s="89"/>
      <c r="AM1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6" s="28" t="str">
        <f aca="false">IF(Tasks[[#This Row],[Task Name]]="","",IF(Tasks[[#This Row],[Progress]]&gt;=1,"Complete",IF(OR(N(Tasks[[#This Row],[Actual Start]])&gt;0,Tasks[[#This Row],[Progress]]&gt;0),IF(Tasks[[#This Row],[Finish Var]]&gt;0,"Behind","In Progress"),IF(Tasks[[#This Row],[Planned Start]]&lt;StatusDate,"Late Start","Not Started"))))</f>
        <v/>
      </c>
      <c r="AO126" s="30"/>
      <c r="AP126" s="89"/>
      <c r="AQ1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6" s="96" t="str">
        <f aca="false">IF(Tasks[[#This Row],[Task Name]]="","",IF(Tasks[[#This Row],[_IsSummary]],SUM(INDEX(Tasks[_LeafTotalWork],Tasks[[#This Row],[_Row]]+1):INDEX(Tasks[_LeafTotalWork],Tasks[[#This Row],[_Row]]+Tasks[[#This Row],[_Descendants]])),Tasks[[#This Row],[_LeafTotalWork]]))</f>
        <v/>
      </c>
      <c r="AT126" s="97" t="str">
        <f aca="false">IF(Tasks[[#This Row],[Task Name]]="","",IF(Tasks[[#This Row],[_IsSummary]],SUM(INDEX(Tasks[_LeafTotalCost],Tasks[[#This Row],[_Row]]+1):INDEX(Tasks[_LeafTotalCost],Tasks[[#This Row],[_Row]]+Tasks[[#This Row],[_Descendants]])),Tasks[[#This Row],[_LeafTotalCost]]))</f>
        <v/>
      </c>
      <c r="AU126" s="98"/>
      <c r="AV126" s="29"/>
      <c r="AW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6" s="83"/>
      <c r="AY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6" s="30"/>
      <c r="BA126" s="25" t="str">
        <f aca="false">IF(Tasks[[#This Row],[Task Name]]="","",Tasks[[#This Row],[Forecast Start]])</f>
        <v/>
      </c>
      <c r="BB126" s="25" t="str">
        <f aca="false">IF(Tasks[[#This Row],[Task Name]]="","",Tasks[[#This Row],[Forecast Finish]])</f>
        <v/>
      </c>
      <c r="BC126" s="28" t="str">
        <f aca="false">IF(Tasks[[#This Row],[Task Name]]="","",IF(Tasks[[#This Row],[_IsSummary]],NETWORKDAYS.INTL(Tasks[[#This Row],[Forecast Start]],Tasks[[#This Row],[Forecast Finish]],WorkWeek,Holidays),N(Tasks[[#This Row],[Duration]])))</f>
        <v/>
      </c>
      <c r="BD126" s="96" t="str">
        <f aca="false">IF(Tasks[[#This Row],[Task Name]]="","",Tasks[[#This Row],[Work]])</f>
        <v/>
      </c>
      <c r="BE126" s="97" t="str">
        <f aca="false">IF(Tasks[[#This Row],[Task Name]]="","",Tasks[[#This Row],[Cost]])</f>
        <v/>
      </c>
      <c r="BF126" s="75"/>
      <c r="BG126" s="75"/>
      <c r="BH126" s="29"/>
      <c r="BI126" s="99"/>
      <c r="BJ126" s="98"/>
      <c r="BK126" s="28" t="str">
        <f aca="false">IF(OR(Tasks[[#This Row],[Task Name]]="",Tasks[[#This Row],[Baseline Duration]]=""),"",Tasks[[#This Row],[BL Source Duration]]-N(Tasks[[#This Row],[Baseline Duration]]))</f>
        <v/>
      </c>
      <c r="BL126" s="96" t="str">
        <f aca="false">IF(OR(Tasks[[#This Row],[Task Name]]="",Tasks[[#This Row],[Baseline Work]]=""),"",Tasks[[#This Row],[Work]]-N(Tasks[[#This Row],[Baseline Work]]))</f>
        <v/>
      </c>
      <c r="BM126" s="97" t="str">
        <f aca="false">IF(OR(Tasks[[#This Row],[Task Name]]="",Tasks[[#This Row],[Baseline Cost]]=""),"",Tasks[[#This Row],[Cost]]-N(Tasks[[#This Row],[Baseline Cost]]))</f>
        <v/>
      </c>
      <c r="BN126" s="97" t="str">
        <f aca="false">IF(Tasks[[#This Row],[Task Name]]="","",IF(Tasks[[#This Row],[_IsSummary]],SUM(INDEX(Tasks[_LeafBudget],Tasks[[#This Row],[_Row]]+1):INDEX(Tasks[_LeafBudget],Tasks[[#This Row],[_Row]]+Tasks[[#This Row],[_Descendants]])),Tasks[[#This Row],[_LeafBudget]]))</f>
        <v/>
      </c>
      <c r="BO126" s="97" t="str">
        <f aca="false">IF(Tasks[[#This Row],[Task Name]]="","",IF(Tasks[[#This Row],[_IsSummary]],SUM(INDEX(Tasks[_LeafPV],Tasks[[#This Row],[_Row]]+1):INDEX(Tasks[_LeafPV],Tasks[[#This Row],[_Row]]+Tasks[[#This Row],[_Descendants]])),Tasks[[#This Row],[_LeafPV]]))</f>
        <v/>
      </c>
      <c r="BP126" s="97" t="str">
        <f aca="false">IF(Tasks[[#This Row],[Task Name]]="","",IF(Tasks[[#This Row],[_IsSummary]],SUM(INDEX(Tasks[_LeafEV],Tasks[[#This Row],[_Row]]+1):INDEX(Tasks[_LeafEV],Tasks[[#This Row],[_Row]]+Tasks[[#This Row],[_Descendants]])),Tasks[[#This Row],[_LeafEV]]))</f>
        <v/>
      </c>
      <c r="BQ126" s="97" t="str">
        <f aca="false">IF(Tasks[[#This Row],[Task Name]]="","",IF(Tasks[[#This Row],[_IsSummary]],SUM(INDEX(Tasks[_LeafAC],Tasks[[#This Row],[_Row]]+1):INDEX(Tasks[_LeafAC],Tasks[[#This Row],[_Row]]+Tasks[[#This Row],[_Descendants]])),Tasks[[#This Row],[_LeafAC]]))</f>
        <v/>
      </c>
      <c r="BR126" s="41" t="str">
        <f aca="false">IF(Tasks[[#This Row],[Task Name]]="","",MAX(1,N(Tasks[[#This Row],[Level]])))</f>
        <v/>
      </c>
      <c r="BS126" s="41" t="n">
        <f aca="false">ROW()-ROW(Tasks[[#Headers],[ID]])</f>
        <v>121</v>
      </c>
      <c r="BT126" s="41" t="n">
        <f aca="false">IF(OR(Tasks[[#This Row],[Task Name]]="",Tasks[[#This Row],[_Level]]&lt;=1),0,IFERROR(LOOKUP(2,1/(Tasks[[#Headers],[_Level]]:Tasks[[#This Row],[_Level]]=Tasks[[#This Row],[_Level]]-1),ROW(Tasks[[#Headers],[_Level]]:Tasks[[#This Row],[_Level]])),0))</f>
        <v>0</v>
      </c>
      <c r="BU126" s="41" t="n">
        <f aca="false">IFERROR(N(INDEX(Tasks[_Level],Tasks[[#This Row],[_Row]]+1)),0)</f>
        <v>0</v>
      </c>
      <c r="BV126" s="100" t="b">
        <f aca="false">AND(Tasks[[#This Row],[Task Name]]&lt;&gt;"",Tasks[[#This Row],[_NextLevel]]&gt;Tasks[[#This Row],[_Level]])</f>
        <v>0</v>
      </c>
      <c r="BW126" s="41" t="n">
        <f aca="false">IF(Tasks[[#This Row],[_IsSummary]],COUNTIF(Tasks[WBS],Tasks[[#This Row],[WBS]]&amp;".*"),0)</f>
        <v>0</v>
      </c>
      <c r="BX126" s="41" t="n">
        <f aca="false">IF(AND(Tasks[[#This Row],[Task Name]]&lt;&gt;"",NOT(Tasks[[#This Row],[_IsSummary]])),1,0)</f>
        <v>0</v>
      </c>
      <c r="BY126" s="41" t="n">
        <f aca="false">IF(N(Tasks[[#This Row],[Pred1 UID]])=0,0,IFERROR(MATCH(Tasks[[#This Row],[Pred1 UID]],Tasks[UID],0),-1))</f>
        <v>0</v>
      </c>
      <c r="BZ126" s="41" t="n">
        <f aca="false">IF(N(Tasks[[#This Row],[Pred2 UID]])=0,0,IFERROR(MATCH(Tasks[[#This Row],[Pred2 UID]],Tasks[UID],0),-1))</f>
        <v>0</v>
      </c>
      <c r="CA126" s="41" t="n">
        <f aca="false">IF(N(Tasks[[#This Row],[Pred3 UID]])=0,0,IFERROR(MATCH(Tasks[[#This Row],[Pred3 UID]],Tasks[UID],0),-1))</f>
        <v>0</v>
      </c>
      <c r="CB126" s="41" t="n">
        <f aca="false">IF(N(Tasks[[#This Row],[Pred4 UID]])=0,0,IFERROR(MATCH(Tasks[[#This Row],[Pred4 UID]],Tasks[UID],0),-1))</f>
        <v>0</v>
      </c>
      <c r="CC1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6" s="101" t="n">
        <f aca="false">IF(OR(Tasks[[#This Row],[_ConstraintCode]]=2,Tasks[[#This Row],[_ConstraintCode]]=3,Tasks[[#This Row],[_ConstraintCode]]=4,Tasks[[#This Row],[_ConstraintCode]]=6),Tasks[[#This Row],[_ConstraintStart]],0)</f>
        <v>0</v>
      </c>
      <c r="CF126" s="101" t="n">
        <f aca="false">IF(OR(Tasks[[#This Row],[_ConstraintCode]]=2,Tasks[[#This Row],[_ConstraintCode]]=3,Tasks[[#This Row],[_ConstraintCode]]=5,Tasks[[#This Row],[_ConstraintCode]]=7),Tasks[[#This Row],[_ConstraintStart]],2958465)</f>
        <v>2958465</v>
      </c>
      <c r="CG12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6" s="101" t="str">
        <f aca="false">IF(NOT(Tasks[[#This Row],[_IsLeaf]]=1),"",IF(N(Tasks[[#This Row],[Duration]])&lt;=0,Tasks[[#This Row],[_LeafCalcStart]],WORKDAY.INTL(Tasks[[#This Row],[_LeafCalcStart]],Tasks[[#This Row],[Duration]]-1,WorkWeek,Holidays)))</f>
        <v/>
      </c>
      <c r="CI12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6" s="41" t="n">
        <f aca="false">IF(NOT(Tasks[[#This Row],[_IsLeaf]]=1),0,IF(N(Tasks[[#This Row],[Actual Finish]])&gt;0,1,MIN(1,N(Tasks[[#This Row],[% Complete]]))))</f>
        <v>0</v>
      </c>
      <c r="CL126" s="41" t="n">
        <f aca="false">IF(OR(NOT(Tasks[[#This Row],[_IsLeaf]]=1),Tasks[[#This Row],[Resource]]=""),0,N(Tasks[[#This Row],[Duration]])*HoursPerDay*IF(Tasks[[#This Row],[Units]]="",DefaultUnits,Tasks[[#This Row],[Units]]))</f>
        <v>0</v>
      </c>
      <c r="CM126" s="41" t="n">
        <f aca="false">IF(Tasks[[#This Row],[_LeafWork]]=0,0,Tasks[[#This Row],[_LeafWork]]*IFERROR(INDEX(res_Rate,MATCH(Tasks[[#This Row],[Resource]],res_Name,0)),0))</f>
        <v>0</v>
      </c>
      <c r="CN126" s="41" t="n">
        <f aca="false">Tasks[[#This Row],[_LeafWork]]+IF(Tasks[[#This Row],[_IsLeaf]]=1,SUMIFS(asg_Work,asg_TaskUID,Tasks[[#This Row],[UID]],asg_Valid,1),0)</f>
        <v>0</v>
      </c>
      <c r="CO126" s="41" t="n">
        <f aca="false">Tasks[[#This Row],[_LeafCost]]+IF(Tasks[[#This Row],[_IsLeaf]]=1,SUMIFS(asg_Cost,asg_TaskUID,Tasks[[#This Row],[UID]],asg_Valid,1),0)</f>
        <v>0</v>
      </c>
      <c r="CP126" s="41" t="n">
        <f aca="false">IF(Tasks[[#This Row],[_LeafTotalCost]]=0,Tasks[[#This Row],[_LeafAC]],Tasks[[#This Row],[_LeafAC]]*Tasks[[#This Row],[_LeafCost]]/Tasks[[#This Row],[_LeafTotalCost]])</f>
        <v>0</v>
      </c>
      <c r="CQ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6" s="41" t="n">
        <f aca="false">IF(NOT(Tasks[[#This Row],[_IsLeaf]]=1),0,MAX(_xlfn.MAXIFS(Tasks[_Row],Tasks[Pred1 UID],Tasks[[#This Row],[UID]]),_xlfn.MAXIFS(Tasks[_Row],Tasks[Pred2 UID],Tasks[[#This Row],[UID]]),_xlfn.MAXIFS(Tasks[_Row],Tasks[Pred3 UID],Tasks[[#This Row],[UID]]),_xlfn.MAXIFS(Tasks[_Row],Tasks[Pred4 UID],Tasks[[#This Row],[UID]])))</f>
        <v>0</v>
      </c>
      <c r="CZ1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6" s="101" t="str">
        <f aca="false">IF(NOT(Tasks[[#This Row],[_IsLeaf]]=1),"",IF(N(Tasks[[#This Row],[Duration]])&lt;=0,Tasks[[#This Row],[_LeafLateFinish]],WORKDAY.INTL(Tasks[[#This Row],[_LeafLateFinish]],-(Tasks[[#This Row],[Duration]]-1),WorkWeek,Holidays)))</f>
        <v/>
      </c>
      <c r="DC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6" s="100" t="b">
        <f aca="false">AND(Tasks[[#This Row],[_IsLeaf]]=1,Tasks[[#This Row],[_LeafProgress]]&lt;1,N(Tasks[[#This Row],[_LeafTotalSlack]])&lt;=CriticalSlackDays)</f>
        <v>0</v>
      </c>
      <c r="DE126" s="41" t="n">
        <f aca="false">IF(AND(Tasks[[#This Row],[_IsLeaf]]=1,Tasks[[#This Row],[_ConstraintCode]]=1,Tasks[[#This Row],[Mode]]&lt;&gt;"Manual",N(Tasks[[#This Row],[Actual Start]])=0),MAX(0,N(Tasks[[#This Row],[Free Slack]])),0)</f>
        <v>0</v>
      </c>
      <c r="DF126" s="101" t="str">
        <f aca="false">IF(NOT(Tasks[[#This Row],[_IsLeaf]]=1),"",IF(Tasks[[#This Row],[_AlapShift]]=0,Tasks[[#This Row],[_LeafCalcStart]],WORKDAY.INTL(Tasks[[#This Row],[_LeafCalcStart]],Tasks[[#This Row],[_AlapShift]],WorkWeek,Holidays)))</f>
        <v/>
      </c>
      <c r="DG126" s="101" t="str">
        <f aca="false">IF(NOT(Tasks[[#This Row],[_IsLeaf]]=1),"",IF(Tasks[[#This Row],[_AlapShift]]=0,Tasks[[#This Row],[_LeafCalcFinish]],WORKDAY.INTL(Tasks[[#This Row],[_LeafCalcFinish]],Tasks[[#This Row],[_AlapShift]],WorkWeek,Holidays)))</f>
        <v/>
      </c>
      <c r="DH126" s="101" t="str">
        <f aca="false">IF(NOT(Tasks[[#This Row],[_IsLeaf]]=1),"",IF(Tasks[[#This Row],[_AlapShift]]=0,Tasks[[#This Row],[_LeafFcstStart]],WORKDAY.INTL(Tasks[[#This Row],[_LeafFcstStart]],Tasks[[#This Row],[_AlapShift]],WorkWeek,Holidays)))</f>
        <v/>
      </c>
      <c r="DI126" s="101" t="str">
        <f aca="false">IF(NOT(Tasks[[#This Row],[_IsLeaf]]=1),"",IF(Tasks[[#This Row],[_AlapShift]]=0,Tasks[[#This Row],[_LeafFcstFinish]],WORKDAY.INTL(Tasks[[#This Row],[_LeafFcstFinish]],Tasks[[#This Row],[_AlapShift]],WorkWeek,Holidays)))</f>
        <v/>
      </c>
      <c r="DJ126" s="101" t="str">
        <f aca="false">IF(Tasks[[#This Row],[Task Name]]="","",IF(Tasks[[#This Row],[_IsSummary]],MIN(INDEX(Tasks[_ShownCalcStart],Tasks[[#This Row],[_Row]]+1):INDEX(Tasks[_ShownCalcStart],Tasks[[#This Row],[_Row]]+Tasks[[#This Row],[_Descendants]])),Tasks[[#This Row],[_ShownCalcStart]]))</f>
        <v/>
      </c>
      <c r="DK126" s="101" t="str">
        <f aca="false">IF(Tasks[[#This Row],[Task Name]]="","",IF(Tasks[[#This Row],[_IsSummary]],MAX(INDEX(Tasks[_ShownCalcFinish],Tasks[[#This Row],[_Row]]+1):INDEX(Tasks[_ShownCalcFinish],Tasks[[#This Row],[_Row]]+Tasks[[#This Row],[_Descendants]])),Tasks[[#This Row],[_ShownCalcFinish]]))</f>
        <v/>
      </c>
      <c r="D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6" s="41" t="n">
        <f aca="false">IF(AND(Tasks[[#This Row],[_IsLeaf]]=1,Tasks[[#This Row],[_LeafTotalWork]]&gt;0),NETWORKDAYS.INTL(ProjectStart,Tasks[[#This Row],[_ShownFcstStart]],WorkWeek,Holidays),0)</f>
        <v>0</v>
      </c>
      <c r="DY126" s="41" t="n">
        <f aca="false">IF(AND(Tasks[[#This Row],[_IsLeaf]]=1,Tasks[[#This Row],[_LeafTotalWork]]&gt;0),MAX(Tasks[[#This Row],[_StartWorkday]],NETWORKDAYS.INTL(ProjectStart,Tasks[[#This Row],[_ShownFcstFinish]],WorkWeek,Holidays)),0)</f>
        <v>0</v>
      </c>
      <c r="DZ126" s="41" t="n">
        <f aca="false">IF(AND(Tasks[[#This Row],[_IsLeaf]]=1,Tasks[[#This Row],[_LeafTotalWork]]&gt;0),Tasks[[#This Row],[_LeafWork]]/(Tasks[[#This Row],[_FinishWorkday]]-Tasks[[#This Row],[_StartWorkday]]+1),0)</f>
        <v>0</v>
      </c>
      <c r="EA126" s="41" t="n">
        <f aca="false">Tasks[[#This Row],[_WorkPerWorkday]]*(Tasks[[#This Row],[_StartWorkday]]-1)</f>
        <v>-0</v>
      </c>
      <c r="EB126" s="41" t="n">
        <f aca="false">IF(Tasks[[#This Row],[_IsLeaf]]=1,MAX(N(Tasks[[#This Row],[Duration]]),0.1),0)</f>
        <v>0</v>
      </c>
      <c r="EC126" s="41" t="n">
        <f aca="false">Tasks[[#This Row],[_WeightDur]]*Tasks[[#This Row],[_LeafProgress]]</f>
        <v>0</v>
      </c>
      <c r="ED1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6" s="41" t="str">
        <f aca="false">IF(AND(Tasks[[#This Row],[_IsLeaf]]=1,N(Tasks[[#This Row],[Duration]])=0,Tasks[[#This Row],[_LeafProgress]]&lt;1),Tasks[[#This Row],[_ShownFcstFinish]]+Tasks[[#This Row],[_Row]]/100000,"")</f>
        <v/>
      </c>
      <c r="EF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6" s="41" t="n">
        <f aca="false">IF(NOT(Tasks[[#This Row],[_IsLeaf]]=1),0,IF(Tasks[[#This Row],[Baseline Cost]]="",Tasks[[#This Row],[_LeafTotalCost]],N(Tasks[[#This Row],[Baseline Cost]])))</f>
        <v>0</v>
      </c>
      <c r="EH126" s="41" t="n">
        <f aca="false">Tasks[[#This Row],[_LeafBudget]]*Tasks[[#This Row],[_PlannedPct]]</f>
        <v>0</v>
      </c>
      <c r="EI126" s="41" t="n">
        <f aca="false">Tasks[[#This Row],[_LeafBudget]]*Tasks[[#This Row],[_LeafProgress]]</f>
        <v>0</v>
      </c>
      <c r="EJ126" s="41" t="n">
        <f aca="false">IF(NOT(Tasks[[#This Row],[_IsLeaf]]=1),0,IF(Tasks[[#This Row],[Actual Cost]]="",Tasks[[#This Row],[_LeafTotalCost]]*Tasks[[#This Row],[_LeafProgress]],N(Tasks[[#This Row],[Actual Cost]])))</f>
        <v>0</v>
      </c>
      <c r="EK126" s="41" t="str">
        <f aca="false">IF(Tasks[[#This Row],[Task Name]]="","",LEFT(Tasks[[#This Row],[WBS]],FIND(".",Tasks[[#This Row],[WBS]]&amp;".")-1))</f>
        <v/>
      </c>
      <c r="EL126" s="41" t="str">
        <f aca="false">IF(AND(Tasks[[#This Row],[Task Name]]&lt;&gt;"",Tasks[[#This Row],[_Level]]=1),Tasks[[#This Row],[_Row]],"")</f>
        <v/>
      </c>
      <c r="EM126" s="41" t="str">
        <f aca="false">IF(AND(Tasks[[#This Row],[_IsLeaf]]=1,N(Tasks[[#This Row],[Duration]])=0),Tasks[[#This Row],[Planned Finish]]+Tasks[[#This Row],[_Row]]/100000,"")</f>
        <v/>
      </c>
      <c r="EN126" s="41" t="str">
        <f aca="false">IF(AND(Tasks[[#This Row],[_IsLeaf]]=1,Tasks[[#This Row],[_LeafProgress]]&lt;1,OR(N(Tasks[[#This Row],[Finish Var]])&gt;0,Tasks[[#This Row],[Status]]="Late Start")),MAX(0,Tasks[[#This Row],[Finish Var]])+1-Tasks[[#This Row],[_Row]]/1000000,"")</f>
        <v/>
      </c>
      <c r="EO126" s="41" t="str">
        <f aca="false">IF(AND(Tasks[[#This Row],[_IsLeaf]]=1,N(Tasks[[#This Row],[Actual Start]])=0,Tasks[[#This Row],[_ShownFcstStart]]&gt;=StatusDate,Tasks[[#This Row],[_ShownFcstStart]]&lt;=LookaheadEnd),Tasks[[#This Row],[_ShownFcstStart]]+Tasks[[#This Row],[_Row]]/100000,"")</f>
        <v/>
      </c>
      <c r="EP126" s="41" t="str">
        <f aca="false">IF(AND(Tasks[[#This Row],[_IsLeaf]]=1,Tasks[[#This Row],[_LeafProgress]]&lt;1,Tasks[[#This Row],[_ShownFcstFinish]]&gt;=StatusDate,Tasks[[#This Row],[_ShownFcstFinish]]&lt;=LookaheadEnd),Tasks[[#This Row],[_ShownFcstFinish]]+Tasks[[#This Row],[_Row]]/100000,"")</f>
        <v/>
      </c>
      <c r="EQ126" s="41" t="str">
        <f aca="false">IF(Tasks[[#This Row],[_LeafCritical]],Tasks[[#This Row],[_ShownFcstStart]]+Tasks[[#This Row],[_Row]]/100000,"")</f>
        <v/>
      </c>
      <c r="ER126" s="41" t="n">
        <f aca="false">Tasks[[#This Row],[_LeafWork]]*Tasks[[#This Row],[_LeafProgress]]</f>
        <v>0</v>
      </c>
      <c r="ES126" s="101" t="str">
        <f aca="false">IF(AND(Tasks[[#This Row],[_IsLeaf]]=1,Tasks[[#This Row],[_LeafProgress]]&gt;=1),IF(N(Tasks[[#This Row],[Actual Finish]])&gt;0,Tasks[[#This Row],[Actual Finish]],Tasks[[#This Row],[_ShownFcstFinish]]),"")</f>
        <v/>
      </c>
      <c r="ET126" s="41" t="n">
        <f aca="false">IF(Tasks[[#This Row],[_IsLeaf]]=1,N(Tasks[[#This Row],[Story Points]]),0)</f>
        <v>0</v>
      </c>
      <c r="EU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29"/>
      <c r="O127" s="29"/>
      <c r="P127" s="29"/>
      <c r="Q127" s="29"/>
      <c r="R127" s="29"/>
      <c r="S127" s="29"/>
      <c r="T127" s="30"/>
      <c r="U127" s="75"/>
      <c r="V127" s="75"/>
      <c r="W127" s="25" t="str">
        <f aca="false">IF(Tasks[[#This Row],[Task Name]]="","",IF(N(Tasks[[#This Row],[Baseline Start]])&gt;0,Tasks[[#This Row],[Baseline Start]],Tasks[[#This Row],[_CalcStart]]))</f>
        <v/>
      </c>
      <c r="X127" s="25" t="str">
        <f aca="false">IF(Tasks[[#This Row],[Task Name]]="","",IF(N(Tasks[[#This Row],[Baseline Finish]])&gt;0,Tasks[[#This Row],[Baseline Finish]],Tasks[[#This Row],[_CalcFinish]]))</f>
        <v/>
      </c>
      <c r="Y127" s="75"/>
      <c r="Z127" s="75"/>
      <c r="AA127" s="25" t="str">
        <f aca="false">IF(Tasks[[#This Row],[Task Name]]="","",IF(Tasks[[#This Row],[_IsSummary]],MIN(INDEX(Tasks[_ShownFcstStart],Tasks[[#This Row],[_Row]]+1):INDEX(Tasks[_ShownFcstStart],Tasks[[#This Row],[_Row]]+Tasks[[#This Row],[_Descendants]])),Tasks[[#This Row],[_ShownFcstStart]]))</f>
        <v/>
      </c>
      <c r="AB127" s="25" t="str">
        <f aca="false">IF(Tasks[[#This Row],[Task Name]]="","",IF(Tasks[[#This Row],[_IsSummary]],MAX(INDEX(Tasks[_ShownFcstFinish],Tasks[[#This Row],[_Row]]+1):INDEX(Tasks[_ShownFcstFinish],Tasks[[#This Row],[_Row]]+Tasks[[#This Row],[_Descendants]])),Tasks[[#This Row],[_ShownFcstFinish]]))</f>
        <v/>
      </c>
      <c r="AC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7" s="25" t="str">
        <f aca="false">IF(Tasks[[#This Row],[Task Name]]="","",IF(Tasks[[#This Row],[_IsSummary]],MIN(INDEX(Tasks[_LeafLateStart],Tasks[[#This Row],[_Row]]+1):INDEX(Tasks[_LeafLateStart],Tasks[[#This Row],[_Row]]+Tasks[[#This Row],[_Descendants]])),Tasks[[#This Row],[_LeafLateStart]]))</f>
        <v/>
      </c>
      <c r="AF127" s="25" t="str">
        <f aca="false">IF(Tasks[[#This Row],[Task Name]]="","",IF(Tasks[[#This Row],[_IsSummary]],MAX(INDEX(Tasks[_LeafLateFinish],Tasks[[#This Row],[_Row]]+1):INDEX(Tasks[_LeafLateFinish],Tasks[[#This Row],[_Row]]+Tasks[[#This Row],[_Descendants]])),Tasks[[#This Row],[_LeafLateFinish]]))</f>
        <v/>
      </c>
      <c r="AG127" s="28" t="str">
        <f aca="false">IF(Tasks[[#This Row],[Task Name]]="","",IF(Tasks[[#This Row],[_IsSummary]],MIN(INDEX(Tasks[_LeafTotalSlack],Tasks[[#This Row],[_Row]]+1):INDEX(Tasks[_LeafTotalSlack],Tasks[[#This Row],[_Row]]+Tasks[[#This Row],[_Descendants]])),Tasks[[#This Row],[_LeafTotalSlack]]))</f>
        <v/>
      </c>
      <c r="AH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7" s="28" t="str">
        <f aca="false">IF(Tasks[[#This Row],[Task Name]]="","",IF(IF(Tasks[[#This Row],[_IsSummary]],COUNTIF(INDEX(Tasks[_LeafCritical],Tasks[[#This Row],[_Row]]+1):INDEX(Tasks[_LeafCritical],Tasks[[#This Row],[_Row]]+Tasks[[#This Row],[_Descendants]]),TRUE())&gt;0,Tasks[[#This Row],[_LeafCritical]]),"Yes",""))</f>
        <v/>
      </c>
      <c r="AJ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7" s="89"/>
      <c r="AM1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7" s="28" t="str">
        <f aca="false">IF(Tasks[[#This Row],[Task Name]]="","",IF(Tasks[[#This Row],[Progress]]&gt;=1,"Complete",IF(OR(N(Tasks[[#This Row],[Actual Start]])&gt;0,Tasks[[#This Row],[Progress]]&gt;0),IF(Tasks[[#This Row],[Finish Var]]&gt;0,"Behind","In Progress"),IF(Tasks[[#This Row],[Planned Start]]&lt;StatusDate,"Late Start","Not Started"))))</f>
        <v/>
      </c>
      <c r="AO127" s="30"/>
      <c r="AP127" s="89"/>
      <c r="AQ1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7" s="96" t="str">
        <f aca="false">IF(Tasks[[#This Row],[Task Name]]="","",IF(Tasks[[#This Row],[_IsSummary]],SUM(INDEX(Tasks[_LeafTotalWork],Tasks[[#This Row],[_Row]]+1):INDEX(Tasks[_LeafTotalWork],Tasks[[#This Row],[_Row]]+Tasks[[#This Row],[_Descendants]])),Tasks[[#This Row],[_LeafTotalWork]]))</f>
        <v/>
      </c>
      <c r="AT127" s="97" t="str">
        <f aca="false">IF(Tasks[[#This Row],[Task Name]]="","",IF(Tasks[[#This Row],[_IsSummary]],SUM(INDEX(Tasks[_LeafTotalCost],Tasks[[#This Row],[_Row]]+1):INDEX(Tasks[_LeafTotalCost],Tasks[[#This Row],[_Row]]+Tasks[[#This Row],[_Descendants]])),Tasks[[#This Row],[_LeafTotalCost]]))</f>
        <v/>
      </c>
      <c r="AU127" s="98"/>
      <c r="AV127" s="29"/>
      <c r="AW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7" s="83"/>
      <c r="AY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7" s="30"/>
      <c r="BA127" s="25" t="str">
        <f aca="false">IF(Tasks[[#This Row],[Task Name]]="","",Tasks[[#This Row],[Forecast Start]])</f>
        <v/>
      </c>
      <c r="BB127" s="25" t="str">
        <f aca="false">IF(Tasks[[#This Row],[Task Name]]="","",Tasks[[#This Row],[Forecast Finish]])</f>
        <v/>
      </c>
      <c r="BC127" s="28" t="str">
        <f aca="false">IF(Tasks[[#This Row],[Task Name]]="","",IF(Tasks[[#This Row],[_IsSummary]],NETWORKDAYS.INTL(Tasks[[#This Row],[Forecast Start]],Tasks[[#This Row],[Forecast Finish]],WorkWeek,Holidays),N(Tasks[[#This Row],[Duration]])))</f>
        <v/>
      </c>
      <c r="BD127" s="96" t="str">
        <f aca="false">IF(Tasks[[#This Row],[Task Name]]="","",Tasks[[#This Row],[Work]])</f>
        <v/>
      </c>
      <c r="BE127" s="97" t="str">
        <f aca="false">IF(Tasks[[#This Row],[Task Name]]="","",Tasks[[#This Row],[Cost]])</f>
        <v/>
      </c>
      <c r="BF127" s="75"/>
      <c r="BG127" s="75"/>
      <c r="BH127" s="29"/>
      <c r="BI127" s="99"/>
      <c r="BJ127" s="98"/>
      <c r="BK127" s="28" t="str">
        <f aca="false">IF(OR(Tasks[[#This Row],[Task Name]]="",Tasks[[#This Row],[Baseline Duration]]=""),"",Tasks[[#This Row],[BL Source Duration]]-N(Tasks[[#This Row],[Baseline Duration]]))</f>
        <v/>
      </c>
      <c r="BL127" s="96" t="str">
        <f aca="false">IF(OR(Tasks[[#This Row],[Task Name]]="",Tasks[[#This Row],[Baseline Work]]=""),"",Tasks[[#This Row],[Work]]-N(Tasks[[#This Row],[Baseline Work]]))</f>
        <v/>
      </c>
      <c r="BM127" s="97" t="str">
        <f aca="false">IF(OR(Tasks[[#This Row],[Task Name]]="",Tasks[[#This Row],[Baseline Cost]]=""),"",Tasks[[#This Row],[Cost]]-N(Tasks[[#This Row],[Baseline Cost]]))</f>
        <v/>
      </c>
      <c r="BN127" s="97" t="str">
        <f aca="false">IF(Tasks[[#This Row],[Task Name]]="","",IF(Tasks[[#This Row],[_IsSummary]],SUM(INDEX(Tasks[_LeafBudget],Tasks[[#This Row],[_Row]]+1):INDEX(Tasks[_LeafBudget],Tasks[[#This Row],[_Row]]+Tasks[[#This Row],[_Descendants]])),Tasks[[#This Row],[_LeafBudget]]))</f>
        <v/>
      </c>
      <c r="BO127" s="97" t="str">
        <f aca="false">IF(Tasks[[#This Row],[Task Name]]="","",IF(Tasks[[#This Row],[_IsSummary]],SUM(INDEX(Tasks[_LeafPV],Tasks[[#This Row],[_Row]]+1):INDEX(Tasks[_LeafPV],Tasks[[#This Row],[_Row]]+Tasks[[#This Row],[_Descendants]])),Tasks[[#This Row],[_LeafPV]]))</f>
        <v/>
      </c>
      <c r="BP127" s="97" t="str">
        <f aca="false">IF(Tasks[[#This Row],[Task Name]]="","",IF(Tasks[[#This Row],[_IsSummary]],SUM(INDEX(Tasks[_LeafEV],Tasks[[#This Row],[_Row]]+1):INDEX(Tasks[_LeafEV],Tasks[[#This Row],[_Row]]+Tasks[[#This Row],[_Descendants]])),Tasks[[#This Row],[_LeafEV]]))</f>
        <v/>
      </c>
      <c r="BQ127" s="97" t="str">
        <f aca="false">IF(Tasks[[#This Row],[Task Name]]="","",IF(Tasks[[#This Row],[_IsSummary]],SUM(INDEX(Tasks[_LeafAC],Tasks[[#This Row],[_Row]]+1):INDEX(Tasks[_LeafAC],Tasks[[#This Row],[_Row]]+Tasks[[#This Row],[_Descendants]])),Tasks[[#This Row],[_LeafAC]]))</f>
        <v/>
      </c>
      <c r="BR127" s="41" t="str">
        <f aca="false">IF(Tasks[[#This Row],[Task Name]]="","",MAX(1,N(Tasks[[#This Row],[Level]])))</f>
        <v/>
      </c>
      <c r="BS127" s="41" t="n">
        <f aca="false">ROW()-ROW(Tasks[[#Headers],[ID]])</f>
        <v>122</v>
      </c>
      <c r="BT127" s="41" t="n">
        <f aca="false">IF(OR(Tasks[[#This Row],[Task Name]]="",Tasks[[#This Row],[_Level]]&lt;=1),0,IFERROR(LOOKUP(2,1/(Tasks[[#Headers],[_Level]]:Tasks[[#This Row],[_Level]]=Tasks[[#This Row],[_Level]]-1),ROW(Tasks[[#Headers],[_Level]]:Tasks[[#This Row],[_Level]])),0))</f>
        <v>0</v>
      </c>
      <c r="BU127" s="41" t="n">
        <f aca="false">IFERROR(N(INDEX(Tasks[_Level],Tasks[[#This Row],[_Row]]+1)),0)</f>
        <v>0</v>
      </c>
      <c r="BV127" s="100" t="b">
        <f aca="false">AND(Tasks[[#This Row],[Task Name]]&lt;&gt;"",Tasks[[#This Row],[_NextLevel]]&gt;Tasks[[#This Row],[_Level]])</f>
        <v>0</v>
      </c>
      <c r="BW127" s="41" t="n">
        <f aca="false">IF(Tasks[[#This Row],[_IsSummary]],COUNTIF(Tasks[WBS],Tasks[[#This Row],[WBS]]&amp;".*"),0)</f>
        <v>0</v>
      </c>
      <c r="BX127" s="41" t="n">
        <f aca="false">IF(AND(Tasks[[#This Row],[Task Name]]&lt;&gt;"",NOT(Tasks[[#This Row],[_IsSummary]])),1,0)</f>
        <v>0</v>
      </c>
      <c r="BY127" s="41" t="n">
        <f aca="false">IF(N(Tasks[[#This Row],[Pred1 UID]])=0,0,IFERROR(MATCH(Tasks[[#This Row],[Pred1 UID]],Tasks[UID],0),-1))</f>
        <v>0</v>
      </c>
      <c r="BZ127" s="41" t="n">
        <f aca="false">IF(N(Tasks[[#This Row],[Pred2 UID]])=0,0,IFERROR(MATCH(Tasks[[#This Row],[Pred2 UID]],Tasks[UID],0),-1))</f>
        <v>0</v>
      </c>
      <c r="CA127" s="41" t="n">
        <f aca="false">IF(N(Tasks[[#This Row],[Pred3 UID]])=0,0,IFERROR(MATCH(Tasks[[#This Row],[Pred3 UID]],Tasks[UID],0),-1))</f>
        <v>0</v>
      </c>
      <c r="CB127" s="41" t="n">
        <f aca="false">IF(N(Tasks[[#This Row],[Pred4 UID]])=0,0,IFERROR(MATCH(Tasks[[#This Row],[Pred4 UID]],Tasks[UID],0),-1))</f>
        <v>0</v>
      </c>
      <c r="CC1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7" s="101" t="n">
        <f aca="false">IF(OR(Tasks[[#This Row],[_ConstraintCode]]=2,Tasks[[#This Row],[_ConstraintCode]]=3,Tasks[[#This Row],[_ConstraintCode]]=4,Tasks[[#This Row],[_ConstraintCode]]=6),Tasks[[#This Row],[_ConstraintStart]],0)</f>
        <v>0</v>
      </c>
      <c r="CF127" s="101" t="n">
        <f aca="false">IF(OR(Tasks[[#This Row],[_ConstraintCode]]=2,Tasks[[#This Row],[_ConstraintCode]]=3,Tasks[[#This Row],[_ConstraintCode]]=5,Tasks[[#This Row],[_ConstraintCode]]=7),Tasks[[#This Row],[_ConstraintStart]],2958465)</f>
        <v>2958465</v>
      </c>
      <c r="CG12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7" s="101" t="str">
        <f aca="false">IF(NOT(Tasks[[#This Row],[_IsLeaf]]=1),"",IF(N(Tasks[[#This Row],[Duration]])&lt;=0,Tasks[[#This Row],[_LeafCalcStart]],WORKDAY.INTL(Tasks[[#This Row],[_LeafCalcStart]],Tasks[[#This Row],[Duration]]-1,WorkWeek,Holidays)))</f>
        <v/>
      </c>
      <c r="CI12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7" s="41" t="n">
        <f aca="false">IF(NOT(Tasks[[#This Row],[_IsLeaf]]=1),0,IF(N(Tasks[[#This Row],[Actual Finish]])&gt;0,1,MIN(1,N(Tasks[[#This Row],[% Complete]]))))</f>
        <v>0</v>
      </c>
      <c r="CL127" s="41" t="n">
        <f aca="false">IF(OR(NOT(Tasks[[#This Row],[_IsLeaf]]=1),Tasks[[#This Row],[Resource]]=""),0,N(Tasks[[#This Row],[Duration]])*HoursPerDay*IF(Tasks[[#This Row],[Units]]="",DefaultUnits,Tasks[[#This Row],[Units]]))</f>
        <v>0</v>
      </c>
      <c r="CM127" s="41" t="n">
        <f aca="false">IF(Tasks[[#This Row],[_LeafWork]]=0,0,Tasks[[#This Row],[_LeafWork]]*IFERROR(INDEX(res_Rate,MATCH(Tasks[[#This Row],[Resource]],res_Name,0)),0))</f>
        <v>0</v>
      </c>
      <c r="CN127" s="41" t="n">
        <f aca="false">Tasks[[#This Row],[_LeafWork]]+IF(Tasks[[#This Row],[_IsLeaf]]=1,SUMIFS(asg_Work,asg_TaskUID,Tasks[[#This Row],[UID]],asg_Valid,1),0)</f>
        <v>0</v>
      </c>
      <c r="CO127" s="41" t="n">
        <f aca="false">Tasks[[#This Row],[_LeafCost]]+IF(Tasks[[#This Row],[_IsLeaf]]=1,SUMIFS(asg_Cost,asg_TaskUID,Tasks[[#This Row],[UID]],asg_Valid,1),0)</f>
        <v>0</v>
      </c>
      <c r="CP127" s="41" t="n">
        <f aca="false">IF(Tasks[[#This Row],[_LeafTotalCost]]=0,Tasks[[#This Row],[_LeafAC]],Tasks[[#This Row],[_LeafAC]]*Tasks[[#This Row],[_LeafCost]]/Tasks[[#This Row],[_LeafTotalCost]])</f>
        <v>0</v>
      </c>
      <c r="CQ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7" s="41" t="n">
        <f aca="false">IF(NOT(Tasks[[#This Row],[_IsLeaf]]=1),0,MAX(_xlfn.MAXIFS(Tasks[_Row],Tasks[Pred1 UID],Tasks[[#This Row],[UID]]),_xlfn.MAXIFS(Tasks[_Row],Tasks[Pred2 UID],Tasks[[#This Row],[UID]]),_xlfn.MAXIFS(Tasks[_Row],Tasks[Pred3 UID],Tasks[[#This Row],[UID]]),_xlfn.MAXIFS(Tasks[_Row],Tasks[Pred4 UID],Tasks[[#This Row],[UID]])))</f>
        <v>0</v>
      </c>
      <c r="CZ1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7" s="101" t="str">
        <f aca="false">IF(NOT(Tasks[[#This Row],[_IsLeaf]]=1),"",IF(N(Tasks[[#This Row],[Duration]])&lt;=0,Tasks[[#This Row],[_LeafLateFinish]],WORKDAY.INTL(Tasks[[#This Row],[_LeafLateFinish]],-(Tasks[[#This Row],[Duration]]-1),WorkWeek,Holidays)))</f>
        <v/>
      </c>
      <c r="DC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7" s="100" t="b">
        <f aca="false">AND(Tasks[[#This Row],[_IsLeaf]]=1,Tasks[[#This Row],[_LeafProgress]]&lt;1,N(Tasks[[#This Row],[_LeafTotalSlack]])&lt;=CriticalSlackDays)</f>
        <v>0</v>
      </c>
      <c r="DE127" s="41" t="n">
        <f aca="false">IF(AND(Tasks[[#This Row],[_IsLeaf]]=1,Tasks[[#This Row],[_ConstraintCode]]=1,Tasks[[#This Row],[Mode]]&lt;&gt;"Manual",N(Tasks[[#This Row],[Actual Start]])=0),MAX(0,N(Tasks[[#This Row],[Free Slack]])),0)</f>
        <v>0</v>
      </c>
      <c r="DF127" s="101" t="str">
        <f aca="false">IF(NOT(Tasks[[#This Row],[_IsLeaf]]=1),"",IF(Tasks[[#This Row],[_AlapShift]]=0,Tasks[[#This Row],[_LeafCalcStart]],WORKDAY.INTL(Tasks[[#This Row],[_LeafCalcStart]],Tasks[[#This Row],[_AlapShift]],WorkWeek,Holidays)))</f>
        <v/>
      </c>
      <c r="DG127" s="101" t="str">
        <f aca="false">IF(NOT(Tasks[[#This Row],[_IsLeaf]]=1),"",IF(Tasks[[#This Row],[_AlapShift]]=0,Tasks[[#This Row],[_LeafCalcFinish]],WORKDAY.INTL(Tasks[[#This Row],[_LeafCalcFinish]],Tasks[[#This Row],[_AlapShift]],WorkWeek,Holidays)))</f>
        <v/>
      </c>
      <c r="DH127" s="101" t="str">
        <f aca="false">IF(NOT(Tasks[[#This Row],[_IsLeaf]]=1),"",IF(Tasks[[#This Row],[_AlapShift]]=0,Tasks[[#This Row],[_LeafFcstStart]],WORKDAY.INTL(Tasks[[#This Row],[_LeafFcstStart]],Tasks[[#This Row],[_AlapShift]],WorkWeek,Holidays)))</f>
        <v/>
      </c>
      <c r="DI127" s="101" t="str">
        <f aca="false">IF(NOT(Tasks[[#This Row],[_IsLeaf]]=1),"",IF(Tasks[[#This Row],[_AlapShift]]=0,Tasks[[#This Row],[_LeafFcstFinish]],WORKDAY.INTL(Tasks[[#This Row],[_LeafFcstFinish]],Tasks[[#This Row],[_AlapShift]],WorkWeek,Holidays)))</f>
        <v/>
      </c>
      <c r="DJ127" s="101" t="str">
        <f aca="false">IF(Tasks[[#This Row],[Task Name]]="","",IF(Tasks[[#This Row],[_IsSummary]],MIN(INDEX(Tasks[_ShownCalcStart],Tasks[[#This Row],[_Row]]+1):INDEX(Tasks[_ShownCalcStart],Tasks[[#This Row],[_Row]]+Tasks[[#This Row],[_Descendants]])),Tasks[[#This Row],[_ShownCalcStart]]))</f>
        <v/>
      </c>
      <c r="DK127" s="101" t="str">
        <f aca="false">IF(Tasks[[#This Row],[Task Name]]="","",IF(Tasks[[#This Row],[_IsSummary]],MAX(INDEX(Tasks[_ShownCalcFinish],Tasks[[#This Row],[_Row]]+1):INDEX(Tasks[_ShownCalcFinish],Tasks[[#This Row],[_Row]]+Tasks[[#This Row],[_Descendants]])),Tasks[[#This Row],[_ShownCalcFinish]]))</f>
        <v/>
      </c>
      <c r="D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7" s="41" t="n">
        <f aca="false">IF(AND(Tasks[[#This Row],[_IsLeaf]]=1,Tasks[[#This Row],[_LeafTotalWork]]&gt;0),NETWORKDAYS.INTL(ProjectStart,Tasks[[#This Row],[_ShownFcstStart]],WorkWeek,Holidays),0)</f>
        <v>0</v>
      </c>
      <c r="DY127" s="41" t="n">
        <f aca="false">IF(AND(Tasks[[#This Row],[_IsLeaf]]=1,Tasks[[#This Row],[_LeafTotalWork]]&gt;0),MAX(Tasks[[#This Row],[_StartWorkday]],NETWORKDAYS.INTL(ProjectStart,Tasks[[#This Row],[_ShownFcstFinish]],WorkWeek,Holidays)),0)</f>
        <v>0</v>
      </c>
      <c r="DZ127" s="41" t="n">
        <f aca="false">IF(AND(Tasks[[#This Row],[_IsLeaf]]=1,Tasks[[#This Row],[_LeafTotalWork]]&gt;0),Tasks[[#This Row],[_LeafWork]]/(Tasks[[#This Row],[_FinishWorkday]]-Tasks[[#This Row],[_StartWorkday]]+1),0)</f>
        <v>0</v>
      </c>
      <c r="EA127" s="41" t="n">
        <f aca="false">Tasks[[#This Row],[_WorkPerWorkday]]*(Tasks[[#This Row],[_StartWorkday]]-1)</f>
        <v>-0</v>
      </c>
      <c r="EB127" s="41" t="n">
        <f aca="false">IF(Tasks[[#This Row],[_IsLeaf]]=1,MAX(N(Tasks[[#This Row],[Duration]]),0.1),0)</f>
        <v>0</v>
      </c>
      <c r="EC127" s="41" t="n">
        <f aca="false">Tasks[[#This Row],[_WeightDur]]*Tasks[[#This Row],[_LeafProgress]]</f>
        <v>0</v>
      </c>
      <c r="ED1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7" s="41" t="str">
        <f aca="false">IF(AND(Tasks[[#This Row],[_IsLeaf]]=1,N(Tasks[[#This Row],[Duration]])=0,Tasks[[#This Row],[_LeafProgress]]&lt;1),Tasks[[#This Row],[_ShownFcstFinish]]+Tasks[[#This Row],[_Row]]/100000,"")</f>
        <v/>
      </c>
      <c r="EF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7" s="41" t="n">
        <f aca="false">IF(NOT(Tasks[[#This Row],[_IsLeaf]]=1),0,IF(Tasks[[#This Row],[Baseline Cost]]="",Tasks[[#This Row],[_LeafTotalCost]],N(Tasks[[#This Row],[Baseline Cost]])))</f>
        <v>0</v>
      </c>
      <c r="EH127" s="41" t="n">
        <f aca="false">Tasks[[#This Row],[_LeafBudget]]*Tasks[[#This Row],[_PlannedPct]]</f>
        <v>0</v>
      </c>
      <c r="EI127" s="41" t="n">
        <f aca="false">Tasks[[#This Row],[_LeafBudget]]*Tasks[[#This Row],[_LeafProgress]]</f>
        <v>0</v>
      </c>
      <c r="EJ127" s="41" t="n">
        <f aca="false">IF(NOT(Tasks[[#This Row],[_IsLeaf]]=1),0,IF(Tasks[[#This Row],[Actual Cost]]="",Tasks[[#This Row],[_LeafTotalCost]]*Tasks[[#This Row],[_LeafProgress]],N(Tasks[[#This Row],[Actual Cost]])))</f>
        <v>0</v>
      </c>
      <c r="EK127" s="41" t="str">
        <f aca="false">IF(Tasks[[#This Row],[Task Name]]="","",LEFT(Tasks[[#This Row],[WBS]],FIND(".",Tasks[[#This Row],[WBS]]&amp;".")-1))</f>
        <v/>
      </c>
      <c r="EL127" s="41" t="str">
        <f aca="false">IF(AND(Tasks[[#This Row],[Task Name]]&lt;&gt;"",Tasks[[#This Row],[_Level]]=1),Tasks[[#This Row],[_Row]],"")</f>
        <v/>
      </c>
      <c r="EM127" s="41" t="str">
        <f aca="false">IF(AND(Tasks[[#This Row],[_IsLeaf]]=1,N(Tasks[[#This Row],[Duration]])=0),Tasks[[#This Row],[Planned Finish]]+Tasks[[#This Row],[_Row]]/100000,"")</f>
        <v/>
      </c>
      <c r="EN127" s="41" t="str">
        <f aca="false">IF(AND(Tasks[[#This Row],[_IsLeaf]]=1,Tasks[[#This Row],[_LeafProgress]]&lt;1,OR(N(Tasks[[#This Row],[Finish Var]])&gt;0,Tasks[[#This Row],[Status]]="Late Start")),MAX(0,Tasks[[#This Row],[Finish Var]])+1-Tasks[[#This Row],[_Row]]/1000000,"")</f>
        <v/>
      </c>
      <c r="EO127" s="41" t="str">
        <f aca="false">IF(AND(Tasks[[#This Row],[_IsLeaf]]=1,N(Tasks[[#This Row],[Actual Start]])=0,Tasks[[#This Row],[_ShownFcstStart]]&gt;=StatusDate,Tasks[[#This Row],[_ShownFcstStart]]&lt;=LookaheadEnd),Tasks[[#This Row],[_ShownFcstStart]]+Tasks[[#This Row],[_Row]]/100000,"")</f>
        <v/>
      </c>
      <c r="EP127" s="41" t="str">
        <f aca="false">IF(AND(Tasks[[#This Row],[_IsLeaf]]=1,Tasks[[#This Row],[_LeafProgress]]&lt;1,Tasks[[#This Row],[_ShownFcstFinish]]&gt;=StatusDate,Tasks[[#This Row],[_ShownFcstFinish]]&lt;=LookaheadEnd),Tasks[[#This Row],[_ShownFcstFinish]]+Tasks[[#This Row],[_Row]]/100000,"")</f>
        <v/>
      </c>
      <c r="EQ127" s="41" t="str">
        <f aca="false">IF(Tasks[[#This Row],[_LeafCritical]],Tasks[[#This Row],[_ShownFcstStart]]+Tasks[[#This Row],[_Row]]/100000,"")</f>
        <v/>
      </c>
      <c r="ER127" s="41" t="n">
        <f aca="false">Tasks[[#This Row],[_LeafWork]]*Tasks[[#This Row],[_LeafProgress]]</f>
        <v>0</v>
      </c>
      <c r="ES127" s="101" t="str">
        <f aca="false">IF(AND(Tasks[[#This Row],[_IsLeaf]]=1,Tasks[[#This Row],[_LeafProgress]]&gt;=1),IF(N(Tasks[[#This Row],[Actual Finish]])&gt;0,Tasks[[#This Row],[Actual Finish]],Tasks[[#This Row],[_ShownFcstFinish]]),"")</f>
        <v/>
      </c>
      <c r="ET127" s="41" t="n">
        <f aca="false">IF(Tasks[[#This Row],[_IsLeaf]]=1,N(Tasks[[#This Row],[Story Points]]),0)</f>
        <v>0</v>
      </c>
      <c r="EU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29"/>
      <c r="O128" s="29"/>
      <c r="P128" s="29"/>
      <c r="Q128" s="29"/>
      <c r="R128" s="29"/>
      <c r="S128" s="29"/>
      <c r="T128" s="30"/>
      <c r="U128" s="75"/>
      <c r="V128" s="75"/>
      <c r="W128" s="25" t="str">
        <f aca="false">IF(Tasks[[#This Row],[Task Name]]="","",IF(N(Tasks[[#This Row],[Baseline Start]])&gt;0,Tasks[[#This Row],[Baseline Start]],Tasks[[#This Row],[_CalcStart]]))</f>
        <v/>
      </c>
      <c r="X128" s="25" t="str">
        <f aca="false">IF(Tasks[[#This Row],[Task Name]]="","",IF(N(Tasks[[#This Row],[Baseline Finish]])&gt;0,Tasks[[#This Row],[Baseline Finish]],Tasks[[#This Row],[_CalcFinish]]))</f>
        <v/>
      </c>
      <c r="Y128" s="75"/>
      <c r="Z128" s="75"/>
      <c r="AA128" s="25" t="str">
        <f aca="false">IF(Tasks[[#This Row],[Task Name]]="","",IF(Tasks[[#This Row],[_IsSummary]],MIN(INDEX(Tasks[_ShownFcstStart],Tasks[[#This Row],[_Row]]+1):INDEX(Tasks[_ShownFcstStart],Tasks[[#This Row],[_Row]]+Tasks[[#This Row],[_Descendants]])),Tasks[[#This Row],[_ShownFcstStart]]))</f>
        <v/>
      </c>
      <c r="AB128" s="25" t="str">
        <f aca="false">IF(Tasks[[#This Row],[Task Name]]="","",IF(Tasks[[#This Row],[_IsSummary]],MAX(INDEX(Tasks[_ShownFcstFinish],Tasks[[#This Row],[_Row]]+1):INDEX(Tasks[_ShownFcstFinish],Tasks[[#This Row],[_Row]]+Tasks[[#This Row],[_Descendants]])),Tasks[[#This Row],[_ShownFcstFinish]]))</f>
        <v/>
      </c>
      <c r="AC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8" s="25" t="str">
        <f aca="false">IF(Tasks[[#This Row],[Task Name]]="","",IF(Tasks[[#This Row],[_IsSummary]],MIN(INDEX(Tasks[_LeafLateStart],Tasks[[#This Row],[_Row]]+1):INDEX(Tasks[_LeafLateStart],Tasks[[#This Row],[_Row]]+Tasks[[#This Row],[_Descendants]])),Tasks[[#This Row],[_LeafLateStart]]))</f>
        <v/>
      </c>
      <c r="AF128" s="25" t="str">
        <f aca="false">IF(Tasks[[#This Row],[Task Name]]="","",IF(Tasks[[#This Row],[_IsSummary]],MAX(INDEX(Tasks[_LeafLateFinish],Tasks[[#This Row],[_Row]]+1):INDEX(Tasks[_LeafLateFinish],Tasks[[#This Row],[_Row]]+Tasks[[#This Row],[_Descendants]])),Tasks[[#This Row],[_LeafLateFinish]]))</f>
        <v/>
      </c>
      <c r="AG128" s="28" t="str">
        <f aca="false">IF(Tasks[[#This Row],[Task Name]]="","",IF(Tasks[[#This Row],[_IsSummary]],MIN(INDEX(Tasks[_LeafTotalSlack],Tasks[[#This Row],[_Row]]+1):INDEX(Tasks[_LeafTotalSlack],Tasks[[#This Row],[_Row]]+Tasks[[#This Row],[_Descendants]])),Tasks[[#This Row],[_LeafTotalSlack]]))</f>
        <v/>
      </c>
      <c r="AH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8" s="28" t="str">
        <f aca="false">IF(Tasks[[#This Row],[Task Name]]="","",IF(IF(Tasks[[#This Row],[_IsSummary]],COUNTIF(INDEX(Tasks[_LeafCritical],Tasks[[#This Row],[_Row]]+1):INDEX(Tasks[_LeafCritical],Tasks[[#This Row],[_Row]]+Tasks[[#This Row],[_Descendants]]),TRUE())&gt;0,Tasks[[#This Row],[_LeafCritical]]),"Yes",""))</f>
        <v/>
      </c>
      <c r="AJ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8" s="89"/>
      <c r="AM1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8" s="28" t="str">
        <f aca="false">IF(Tasks[[#This Row],[Task Name]]="","",IF(Tasks[[#This Row],[Progress]]&gt;=1,"Complete",IF(OR(N(Tasks[[#This Row],[Actual Start]])&gt;0,Tasks[[#This Row],[Progress]]&gt;0),IF(Tasks[[#This Row],[Finish Var]]&gt;0,"Behind","In Progress"),IF(Tasks[[#This Row],[Planned Start]]&lt;StatusDate,"Late Start","Not Started"))))</f>
        <v/>
      </c>
      <c r="AO128" s="30"/>
      <c r="AP128" s="89"/>
      <c r="AQ1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8" s="96" t="str">
        <f aca="false">IF(Tasks[[#This Row],[Task Name]]="","",IF(Tasks[[#This Row],[_IsSummary]],SUM(INDEX(Tasks[_LeafTotalWork],Tasks[[#This Row],[_Row]]+1):INDEX(Tasks[_LeafTotalWork],Tasks[[#This Row],[_Row]]+Tasks[[#This Row],[_Descendants]])),Tasks[[#This Row],[_LeafTotalWork]]))</f>
        <v/>
      </c>
      <c r="AT128" s="97" t="str">
        <f aca="false">IF(Tasks[[#This Row],[Task Name]]="","",IF(Tasks[[#This Row],[_IsSummary]],SUM(INDEX(Tasks[_LeafTotalCost],Tasks[[#This Row],[_Row]]+1):INDEX(Tasks[_LeafTotalCost],Tasks[[#This Row],[_Row]]+Tasks[[#This Row],[_Descendants]])),Tasks[[#This Row],[_LeafTotalCost]]))</f>
        <v/>
      </c>
      <c r="AU128" s="98"/>
      <c r="AV128" s="29"/>
      <c r="AW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8" s="83"/>
      <c r="AY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8" s="30"/>
      <c r="BA128" s="25" t="str">
        <f aca="false">IF(Tasks[[#This Row],[Task Name]]="","",Tasks[[#This Row],[Forecast Start]])</f>
        <v/>
      </c>
      <c r="BB128" s="25" t="str">
        <f aca="false">IF(Tasks[[#This Row],[Task Name]]="","",Tasks[[#This Row],[Forecast Finish]])</f>
        <v/>
      </c>
      <c r="BC128" s="28" t="str">
        <f aca="false">IF(Tasks[[#This Row],[Task Name]]="","",IF(Tasks[[#This Row],[_IsSummary]],NETWORKDAYS.INTL(Tasks[[#This Row],[Forecast Start]],Tasks[[#This Row],[Forecast Finish]],WorkWeek,Holidays),N(Tasks[[#This Row],[Duration]])))</f>
        <v/>
      </c>
      <c r="BD128" s="96" t="str">
        <f aca="false">IF(Tasks[[#This Row],[Task Name]]="","",Tasks[[#This Row],[Work]])</f>
        <v/>
      </c>
      <c r="BE128" s="97" t="str">
        <f aca="false">IF(Tasks[[#This Row],[Task Name]]="","",Tasks[[#This Row],[Cost]])</f>
        <v/>
      </c>
      <c r="BF128" s="75"/>
      <c r="BG128" s="75"/>
      <c r="BH128" s="29"/>
      <c r="BI128" s="99"/>
      <c r="BJ128" s="98"/>
      <c r="BK128" s="28" t="str">
        <f aca="false">IF(OR(Tasks[[#This Row],[Task Name]]="",Tasks[[#This Row],[Baseline Duration]]=""),"",Tasks[[#This Row],[BL Source Duration]]-N(Tasks[[#This Row],[Baseline Duration]]))</f>
        <v/>
      </c>
      <c r="BL128" s="96" t="str">
        <f aca="false">IF(OR(Tasks[[#This Row],[Task Name]]="",Tasks[[#This Row],[Baseline Work]]=""),"",Tasks[[#This Row],[Work]]-N(Tasks[[#This Row],[Baseline Work]]))</f>
        <v/>
      </c>
      <c r="BM128" s="97" t="str">
        <f aca="false">IF(OR(Tasks[[#This Row],[Task Name]]="",Tasks[[#This Row],[Baseline Cost]]=""),"",Tasks[[#This Row],[Cost]]-N(Tasks[[#This Row],[Baseline Cost]]))</f>
        <v/>
      </c>
      <c r="BN128" s="97" t="str">
        <f aca="false">IF(Tasks[[#This Row],[Task Name]]="","",IF(Tasks[[#This Row],[_IsSummary]],SUM(INDEX(Tasks[_LeafBudget],Tasks[[#This Row],[_Row]]+1):INDEX(Tasks[_LeafBudget],Tasks[[#This Row],[_Row]]+Tasks[[#This Row],[_Descendants]])),Tasks[[#This Row],[_LeafBudget]]))</f>
        <v/>
      </c>
      <c r="BO128" s="97" t="str">
        <f aca="false">IF(Tasks[[#This Row],[Task Name]]="","",IF(Tasks[[#This Row],[_IsSummary]],SUM(INDEX(Tasks[_LeafPV],Tasks[[#This Row],[_Row]]+1):INDEX(Tasks[_LeafPV],Tasks[[#This Row],[_Row]]+Tasks[[#This Row],[_Descendants]])),Tasks[[#This Row],[_LeafPV]]))</f>
        <v/>
      </c>
      <c r="BP128" s="97" t="str">
        <f aca="false">IF(Tasks[[#This Row],[Task Name]]="","",IF(Tasks[[#This Row],[_IsSummary]],SUM(INDEX(Tasks[_LeafEV],Tasks[[#This Row],[_Row]]+1):INDEX(Tasks[_LeafEV],Tasks[[#This Row],[_Row]]+Tasks[[#This Row],[_Descendants]])),Tasks[[#This Row],[_LeafEV]]))</f>
        <v/>
      </c>
      <c r="BQ128" s="97" t="str">
        <f aca="false">IF(Tasks[[#This Row],[Task Name]]="","",IF(Tasks[[#This Row],[_IsSummary]],SUM(INDEX(Tasks[_LeafAC],Tasks[[#This Row],[_Row]]+1):INDEX(Tasks[_LeafAC],Tasks[[#This Row],[_Row]]+Tasks[[#This Row],[_Descendants]])),Tasks[[#This Row],[_LeafAC]]))</f>
        <v/>
      </c>
      <c r="BR128" s="41" t="str">
        <f aca="false">IF(Tasks[[#This Row],[Task Name]]="","",MAX(1,N(Tasks[[#This Row],[Level]])))</f>
        <v/>
      </c>
      <c r="BS128" s="41" t="n">
        <f aca="false">ROW()-ROW(Tasks[[#Headers],[ID]])</f>
        <v>123</v>
      </c>
      <c r="BT128" s="41" t="n">
        <f aca="false">IF(OR(Tasks[[#This Row],[Task Name]]="",Tasks[[#This Row],[_Level]]&lt;=1),0,IFERROR(LOOKUP(2,1/(Tasks[[#Headers],[_Level]]:Tasks[[#This Row],[_Level]]=Tasks[[#This Row],[_Level]]-1),ROW(Tasks[[#Headers],[_Level]]:Tasks[[#This Row],[_Level]])),0))</f>
        <v>0</v>
      </c>
      <c r="BU128" s="41" t="n">
        <f aca="false">IFERROR(N(INDEX(Tasks[_Level],Tasks[[#This Row],[_Row]]+1)),0)</f>
        <v>0</v>
      </c>
      <c r="BV128" s="100" t="b">
        <f aca="false">AND(Tasks[[#This Row],[Task Name]]&lt;&gt;"",Tasks[[#This Row],[_NextLevel]]&gt;Tasks[[#This Row],[_Level]])</f>
        <v>0</v>
      </c>
      <c r="BW128" s="41" t="n">
        <f aca="false">IF(Tasks[[#This Row],[_IsSummary]],COUNTIF(Tasks[WBS],Tasks[[#This Row],[WBS]]&amp;".*"),0)</f>
        <v>0</v>
      </c>
      <c r="BX128" s="41" t="n">
        <f aca="false">IF(AND(Tasks[[#This Row],[Task Name]]&lt;&gt;"",NOT(Tasks[[#This Row],[_IsSummary]])),1,0)</f>
        <v>0</v>
      </c>
      <c r="BY128" s="41" t="n">
        <f aca="false">IF(N(Tasks[[#This Row],[Pred1 UID]])=0,0,IFERROR(MATCH(Tasks[[#This Row],[Pred1 UID]],Tasks[UID],0),-1))</f>
        <v>0</v>
      </c>
      <c r="BZ128" s="41" t="n">
        <f aca="false">IF(N(Tasks[[#This Row],[Pred2 UID]])=0,0,IFERROR(MATCH(Tasks[[#This Row],[Pred2 UID]],Tasks[UID],0),-1))</f>
        <v>0</v>
      </c>
      <c r="CA128" s="41" t="n">
        <f aca="false">IF(N(Tasks[[#This Row],[Pred3 UID]])=0,0,IFERROR(MATCH(Tasks[[#This Row],[Pred3 UID]],Tasks[UID],0),-1))</f>
        <v>0</v>
      </c>
      <c r="CB128" s="41" t="n">
        <f aca="false">IF(N(Tasks[[#This Row],[Pred4 UID]])=0,0,IFERROR(MATCH(Tasks[[#This Row],[Pred4 UID]],Tasks[UID],0),-1))</f>
        <v>0</v>
      </c>
      <c r="CC1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8" s="101" t="n">
        <f aca="false">IF(OR(Tasks[[#This Row],[_ConstraintCode]]=2,Tasks[[#This Row],[_ConstraintCode]]=3,Tasks[[#This Row],[_ConstraintCode]]=4,Tasks[[#This Row],[_ConstraintCode]]=6),Tasks[[#This Row],[_ConstraintStart]],0)</f>
        <v>0</v>
      </c>
      <c r="CF128" s="101" t="n">
        <f aca="false">IF(OR(Tasks[[#This Row],[_ConstraintCode]]=2,Tasks[[#This Row],[_ConstraintCode]]=3,Tasks[[#This Row],[_ConstraintCode]]=5,Tasks[[#This Row],[_ConstraintCode]]=7),Tasks[[#This Row],[_ConstraintStart]],2958465)</f>
        <v>2958465</v>
      </c>
      <c r="CG12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8" s="101" t="str">
        <f aca="false">IF(NOT(Tasks[[#This Row],[_IsLeaf]]=1),"",IF(N(Tasks[[#This Row],[Duration]])&lt;=0,Tasks[[#This Row],[_LeafCalcStart]],WORKDAY.INTL(Tasks[[#This Row],[_LeafCalcStart]],Tasks[[#This Row],[Duration]]-1,WorkWeek,Holidays)))</f>
        <v/>
      </c>
      <c r="CI12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8" s="41" t="n">
        <f aca="false">IF(NOT(Tasks[[#This Row],[_IsLeaf]]=1),0,IF(N(Tasks[[#This Row],[Actual Finish]])&gt;0,1,MIN(1,N(Tasks[[#This Row],[% Complete]]))))</f>
        <v>0</v>
      </c>
      <c r="CL128" s="41" t="n">
        <f aca="false">IF(OR(NOT(Tasks[[#This Row],[_IsLeaf]]=1),Tasks[[#This Row],[Resource]]=""),0,N(Tasks[[#This Row],[Duration]])*HoursPerDay*IF(Tasks[[#This Row],[Units]]="",DefaultUnits,Tasks[[#This Row],[Units]]))</f>
        <v>0</v>
      </c>
      <c r="CM128" s="41" t="n">
        <f aca="false">IF(Tasks[[#This Row],[_LeafWork]]=0,0,Tasks[[#This Row],[_LeafWork]]*IFERROR(INDEX(res_Rate,MATCH(Tasks[[#This Row],[Resource]],res_Name,0)),0))</f>
        <v>0</v>
      </c>
      <c r="CN128" s="41" t="n">
        <f aca="false">Tasks[[#This Row],[_LeafWork]]+IF(Tasks[[#This Row],[_IsLeaf]]=1,SUMIFS(asg_Work,asg_TaskUID,Tasks[[#This Row],[UID]],asg_Valid,1),0)</f>
        <v>0</v>
      </c>
      <c r="CO128" s="41" t="n">
        <f aca="false">Tasks[[#This Row],[_LeafCost]]+IF(Tasks[[#This Row],[_IsLeaf]]=1,SUMIFS(asg_Cost,asg_TaskUID,Tasks[[#This Row],[UID]],asg_Valid,1),0)</f>
        <v>0</v>
      </c>
      <c r="CP128" s="41" t="n">
        <f aca="false">IF(Tasks[[#This Row],[_LeafTotalCost]]=0,Tasks[[#This Row],[_LeafAC]],Tasks[[#This Row],[_LeafAC]]*Tasks[[#This Row],[_LeafCost]]/Tasks[[#This Row],[_LeafTotalCost]])</f>
        <v>0</v>
      </c>
      <c r="CQ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8" s="41" t="n">
        <f aca="false">IF(NOT(Tasks[[#This Row],[_IsLeaf]]=1),0,MAX(_xlfn.MAXIFS(Tasks[_Row],Tasks[Pred1 UID],Tasks[[#This Row],[UID]]),_xlfn.MAXIFS(Tasks[_Row],Tasks[Pred2 UID],Tasks[[#This Row],[UID]]),_xlfn.MAXIFS(Tasks[_Row],Tasks[Pred3 UID],Tasks[[#This Row],[UID]]),_xlfn.MAXIFS(Tasks[_Row],Tasks[Pred4 UID],Tasks[[#This Row],[UID]])))</f>
        <v>0</v>
      </c>
      <c r="CZ1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8" s="101" t="str">
        <f aca="false">IF(NOT(Tasks[[#This Row],[_IsLeaf]]=1),"",IF(N(Tasks[[#This Row],[Duration]])&lt;=0,Tasks[[#This Row],[_LeafLateFinish]],WORKDAY.INTL(Tasks[[#This Row],[_LeafLateFinish]],-(Tasks[[#This Row],[Duration]]-1),WorkWeek,Holidays)))</f>
        <v/>
      </c>
      <c r="DC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8" s="100" t="b">
        <f aca="false">AND(Tasks[[#This Row],[_IsLeaf]]=1,Tasks[[#This Row],[_LeafProgress]]&lt;1,N(Tasks[[#This Row],[_LeafTotalSlack]])&lt;=CriticalSlackDays)</f>
        <v>0</v>
      </c>
      <c r="DE128" s="41" t="n">
        <f aca="false">IF(AND(Tasks[[#This Row],[_IsLeaf]]=1,Tasks[[#This Row],[_ConstraintCode]]=1,Tasks[[#This Row],[Mode]]&lt;&gt;"Manual",N(Tasks[[#This Row],[Actual Start]])=0),MAX(0,N(Tasks[[#This Row],[Free Slack]])),0)</f>
        <v>0</v>
      </c>
      <c r="DF128" s="101" t="str">
        <f aca="false">IF(NOT(Tasks[[#This Row],[_IsLeaf]]=1),"",IF(Tasks[[#This Row],[_AlapShift]]=0,Tasks[[#This Row],[_LeafCalcStart]],WORKDAY.INTL(Tasks[[#This Row],[_LeafCalcStart]],Tasks[[#This Row],[_AlapShift]],WorkWeek,Holidays)))</f>
        <v/>
      </c>
      <c r="DG128" s="101" t="str">
        <f aca="false">IF(NOT(Tasks[[#This Row],[_IsLeaf]]=1),"",IF(Tasks[[#This Row],[_AlapShift]]=0,Tasks[[#This Row],[_LeafCalcFinish]],WORKDAY.INTL(Tasks[[#This Row],[_LeafCalcFinish]],Tasks[[#This Row],[_AlapShift]],WorkWeek,Holidays)))</f>
        <v/>
      </c>
      <c r="DH128" s="101" t="str">
        <f aca="false">IF(NOT(Tasks[[#This Row],[_IsLeaf]]=1),"",IF(Tasks[[#This Row],[_AlapShift]]=0,Tasks[[#This Row],[_LeafFcstStart]],WORKDAY.INTL(Tasks[[#This Row],[_LeafFcstStart]],Tasks[[#This Row],[_AlapShift]],WorkWeek,Holidays)))</f>
        <v/>
      </c>
      <c r="DI128" s="101" t="str">
        <f aca="false">IF(NOT(Tasks[[#This Row],[_IsLeaf]]=1),"",IF(Tasks[[#This Row],[_AlapShift]]=0,Tasks[[#This Row],[_LeafFcstFinish]],WORKDAY.INTL(Tasks[[#This Row],[_LeafFcstFinish]],Tasks[[#This Row],[_AlapShift]],WorkWeek,Holidays)))</f>
        <v/>
      </c>
      <c r="DJ128" s="101" t="str">
        <f aca="false">IF(Tasks[[#This Row],[Task Name]]="","",IF(Tasks[[#This Row],[_IsSummary]],MIN(INDEX(Tasks[_ShownCalcStart],Tasks[[#This Row],[_Row]]+1):INDEX(Tasks[_ShownCalcStart],Tasks[[#This Row],[_Row]]+Tasks[[#This Row],[_Descendants]])),Tasks[[#This Row],[_ShownCalcStart]]))</f>
        <v/>
      </c>
      <c r="DK128" s="101" t="str">
        <f aca="false">IF(Tasks[[#This Row],[Task Name]]="","",IF(Tasks[[#This Row],[_IsSummary]],MAX(INDEX(Tasks[_ShownCalcFinish],Tasks[[#This Row],[_Row]]+1):INDEX(Tasks[_ShownCalcFinish],Tasks[[#This Row],[_Row]]+Tasks[[#This Row],[_Descendants]])),Tasks[[#This Row],[_ShownCalcFinish]]))</f>
        <v/>
      </c>
      <c r="D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8" s="41" t="n">
        <f aca="false">IF(AND(Tasks[[#This Row],[_IsLeaf]]=1,Tasks[[#This Row],[_LeafTotalWork]]&gt;0),NETWORKDAYS.INTL(ProjectStart,Tasks[[#This Row],[_ShownFcstStart]],WorkWeek,Holidays),0)</f>
        <v>0</v>
      </c>
      <c r="DY128" s="41" t="n">
        <f aca="false">IF(AND(Tasks[[#This Row],[_IsLeaf]]=1,Tasks[[#This Row],[_LeafTotalWork]]&gt;0),MAX(Tasks[[#This Row],[_StartWorkday]],NETWORKDAYS.INTL(ProjectStart,Tasks[[#This Row],[_ShownFcstFinish]],WorkWeek,Holidays)),0)</f>
        <v>0</v>
      </c>
      <c r="DZ128" s="41" t="n">
        <f aca="false">IF(AND(Tasks[[#This Row],[_IsLeaf]]=1,Tasks[[#This Row],[_LeafTotalWork]]&gt;0),Tasks[[#This Row],[_LeafWork]]/(Tasks[[#This Row],[_FinishWorkday]]-Tasks[[#This Row],[_StartWorkday]]+1),0)</f>
        <v>0</v>
      </c>
      <c r="EA128" s="41" t="n">
        <f aca="false">Tasks[[#This Row],[_WorkPerWorkday]]*(Tasks[[#This Row],[_StartWorkday]]-1)</f>
        <v>-0</v>
      </c>
      <c r="EB128" s="41" t="n">
        <f aca="false">IF(Tasks[[#This Row],[_IsLeaf]]=1,MAX(N(Tasks[[#This Row],[Duration]]),0.1),0)</f>
        <v>0</v>
      </c>
      <c r="EC128" s="41" t="n">
        <f aca="false">Tasks[[#This Row],[_WeightDur]]*Tasks[[#This Row],[_LeafProgress]]</f>
        <v>0</v>
      </c>
      <c r="ED1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8" s="41" t="str">
        <f aca="false">IF(AND(Tasks[[#This Row],[_IsLeaf]]=1,N(Tasks[[#This Row],[Duration]])=0,Tasks[[#This Row],[_LeafProgress]]&lt;1),Tasks[[#This Row],[_ShownFcstFinish]]+Tasks[[#This Row],[_Row]]/100000,"")</f>
        <v/>
      </c>
      <c r="EF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8" s="41" t="n">
        <f aca="false">IF(NOT(Tasks[[#This Row],[_IsLeaf]]=1),0,IF(Tasks[[#This Row],[Baseline Cost]]="",Tasks[[#This Row],[_LeafTotalCost]],N(Tasks[[#This Row],[Baseline Cost]])))</f>
        <v>0</v>
      </c>
      <c r="EH128" s="41" t="n">
        <f aca="false">Tasks[[#This Row],[_LeafBudget]]*Tasks[[#This Row],[_PlannedPct]]</f>
        <v>0</v>
      </c>
      <c r="EI128" s="41" t="n">
        <f aca="false">Tasks[[#This Row],[_LeafBudget]]*Tasks[[#This Row],[_LeafProgress]]</f>
        <v>0</v>
      </c>
      <c r="EJ128" s="41" t="n">
        <f aca="false">IF(NOT(Tasks[[#This Row],[_IsLeaf]]=1),0,IF(Tasks[[#This Row],[Actual Cost]]="",Tasks[[#This Row],[_LeafTotalCost]]*Tasks[[#This Row],[_LeafProgress]],N(Tasks[[#This Row],[Actual Cost]])))</f>
        <v>0</v>
      </c>
      <c r="EK128" s="41" t="str">
        <f aca="false">IF(Tasks[[#This Row],[Task Name]]="","",LEFT(Tasks[[#This Row],[WBS]],FIND(".",Tasks[[#This Row],[WBS]]&amp;".")-1))</f>
        <v/>
      </c>
      <c r="EL128" s="41" t="str">
        <f aca="false">IF(AND(Tasks[[#This Row],[Task Name]]&lt;&gt;"",Tasks[[#This Row],[_Level]]=1),Tasks[[#This Row],[_Row]],"")</f>
        <v/>
      </c>
      <c r="EM128" s="41" t="str">
        <f aca="false">IF(AND(Tasks[[#This Row],[_IsLeaf]]=1,N(Tasks[[#This Row],[Duration]])=0),Tasks[[#This Row],[Planned Finish]]+Tasks[[#This Row],[_Row]]/100000,"")</f>
        <v/>
      </c>
      <c r="EN128" s="41" t="str">
        <f aca="false">IF(AND(Tasks[[#This Row],[_IsLeaf]]=1,Tasks[[#This Row],[_LeafProgress]]&lt;1,OR(N(Tasks[[#This Row],[Finish Var]])&gt;0,Tasks[[#This Row],[Status]]="Late Start")),MAX(0,Tasks[[#This Row],[Finish Var]])+1-Tasks[[#This Row],[_Row]]/1000000,"")</f>
        <v/>
      </c>
      <c r="EO128" s="41" t="str">
        <f aca="false">IF(AND(Tasks[[#This Row],[_IsLeaf]]=1,N(Tasks[[#This Row],[Actual Start]])=0,Tasks[[#This Row],[_ShownFcstStart]]&gt;=StatusDate,Tasks[[#This Row],[_ShownFcstStart]]&lt;=LookaheadEnd),Tasks[[#This Row],[_ShownFcstStart]]+Tasks[[#This Row],[_Row]]/100000,"")</f>
        <v/>
      </c>
      <c r="EP128" s="41" t="str">
        <f aca="false">IF(AND(Tasks[[#This Row],[_IsLeaf]]=1,Tasks[[#This Row],[_LeafProgress]]&lt;1,Tasks[[#This Row],[_ShownFcstFinish]]&gt;=StatusDate,Tasks[[#This Row],[_ShownFcstFinish]]&lt;=LookaheadEnd),Tasks[[#This Row],[_ShownFcstFinish]]+Tasks[[#This Row],[_Row]]/100000,"")</f>
        <v/>
      </c>
      <c r="EQ128" s="41" t="str">
        <f aca="false">IF(Tasks[[#This Row],[_LeafCritical]],Tasks[[#This Row],[_ShownFcstStart]]+Tasks[[#This Row],[_Row]]/100000,"")</f>
        <v/>
      </c>
      <c r="ER128" s="41" t="n">
        <f aca="false">Tasks[[#This Row],[_LeafWork]]*Tasks[[#This Row],[_LeafProgress]]</f>
        <v>0</v>
      </c>
      <c r="ES128" s="101" t="str">
        <f aca="false">IF(AND(Tasks[[#This Row],[_IsLeaf]]=1,Tasks[[#This Row],[_LeafProgress]]&gt;=1),IF(N(Tasks[[#This Row],[Actual Finish]])&gt;0,Tasks[[#This Row],[Actual Finish]],Tasks[[#This Row],[_ShownFcstFinish]]),"")</f>
        <v/>
      </c>
      <c r="ET128" s="41" t="n">
        <f aca="false">IF(Tasks[[#This Row],[_IsLeaf]]=1,N(Tasks[[#This Row],[Story Points]]),0)</f>
        <v>0</v>
      </c>
      <c r="EU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29"/>
      <c r="O129" s="29"/>
      <c r="P129" s="29"/>
      <c r="Q129" s="29"/>
      <c r="R129" s="29"/>
      <c r="S129" s="29"/>
      <c r="T129" s="30"/>
      <c r="U129" s="75"/>
      <c r="V129" s="75"/>
      <c r="W129" s="25" t="str">
        <f aca="false">IF(Tasks[[#This Row],[Task Name]]="","",IF(N(Tasks[[#This Row],[Baseline Start]])&gt;0,Tasks[[#This Row],[Baseline Start]],Tasks[[#This Row],[_CalcStart]]))</f>
        <v/>
      </c>
      <c r="X129" s="25" t="str">
        <f aca="false">IF(Tasks[[#This Row],[Task Name]]="","",IF(N(Tasks[[#This Row],[Baseline Finish]])&gt;0,Tasks[[#This Row],[Baseline Finish]],Tasks[[#This Row],[_CalcFinish]]))</f>
        <v/>
      </c>
      <c r="Y129" s="75"/>
      <c r="Z129" s="75"/>
      <c r="AA129" s="25" t="str">
        <f aca="false">IF(Tasks[[#This Row],[Task Name]]="","",IF(Tasks[[#This Row],[_IsSummary]],MIN(INDEX(Tasks[_ShownFcstStart],Tasks[[#This Row],[_Row]]+1):INDEX(Tasks[_ShownFcstStart],Tasks[[#This Row],[_Row]]+Tasks[[#This Row],[_Descendants]])),Tasks[[#This Row],[_ShownFcstStart]]))</f>
        <v/>
      </c>
      <c r="AB129" s="25" t="str">
        <f aca="false">IF(Tasks[[#This Row],[Task Name]]="","",IF(Tasks[[#This Row],[_IsSummary]],MAX(INDEX(Tasks[_ShownFcstFinish],Tasks[[#This Row],[_Row]]+1):INDEX(Tasks[_ShownFcstFinish],Tasks[[#This Row],[_Row]]+Tasks[[#This Row],[_Descendants]])),Tasks[[#This Row],[_ShownFcstFinish]]))</f>
        <v/>
      </c>
      <c r="AC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9" s="25" t="str">
        <f aca="false">IF(Tasks[[#This Row],[Task Name]]="","",IF(Tasks[[#This Row],[_IsSummary]],MIN(INDEX(Tasks[_LeafLateStart],Tasks[[#This Row],[_Row]]+1):INDEX(Tasks[_LeafLateStart],Tasks[[#This Row],[_Row]]+Tasks[[#This Row],[_Descendants]])),Tasks[[#This Row],[_LeafLateStart]]))</f>
        <v/>
      </c>
      <c r="AF129" s="25" t="str">
        <f aca="false">IF(Tasks[[#This Row],[Task Name]]="","",IF(Tasks[[#This Row],[_IsSummary]],MAX(INDEX(Tasks[_LeafLateFinish],Tasks[[#This Row],[_Row]]+1):INDEX(Tasks[_LeafLateFinish],Tasks[[#This Row],[_Row]]+Tasks[[#This Row],[_Descendants]])),Tasks[[#This Row],[_LeafLateFinish]]))</f>
        <v/>
      </c>
      <c r="AG129" s="28" t="str">
        <f aca="false">IF(Tasks[[#This Row],[Task Name]]="","",IF(Tasks[[#This Row],[_IsSummary]],MIN(INDEX(Tasks[_LeafTotalSlack],Tasks[[#This Row],[_Row]]+1):INDEX(Tasks[_LeafTotalSlack],Tasks[[#This Row],[_Row]]+Tasks[[#This Row],[_Descendants]])),Tasks[[#This Row],[_LeafTotalSlack]]))</f>
        <v/>
      </c>
      <c r="AH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9" s="28" t="str">
        <f aca="false">IF(Tasks[[#This Row],[Task Name]]="","",IF(IF(Tasks[[#This Row],[_IsSummary]],COUNTIF(INDEX(Tasks[_LeafCritical],Tasks[[#This Row],[_Row]]+1):INDEX(Tasks[_LeafCritical],Tasks[[#This Row],[_Row]]+Tasks[[#This Row],[_Descendants]]),TRUE())&gt;0,Tasks[[#This Row],[_LeafCritical]]),"Yes",""))</f>
        <v/>
      </c>
      <c r="AJ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9" s="89"/>
      <c r="AM1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9" s="28" t="str">
        <f aca="false">IF(Tasks[[#This Row],[Task Name]]="","",IF(Tasks[[#This Row],[Progress]]&gt;=1,"Complete",IF(OR(N(Tasks[[#This Row],[Actual Start]])&gt;0,Tasks[[#This Row],[Progress]]&gt;0),IF(Tasks[[#This Row],[Finish Var]]&gt;0,"Behind","In Progress"),IF(Tasks[[#This Row],[Planned Start]]&lt;StatusDate,"Late Start","Not Started"))))</f>
        <v/>
      </c>
      <c r="AO129" s="30"/>
      <c r="AP129" s="89"/>
      <c r="AQ1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9" s="96" t="str">
        <f aca="false">IF(Tasks[[#This Row],[Task Name]]="","",IF(Tasks[[#This Row],[_IsSummary]],SUM(INDEX(Tasks[_LeafTotalWork],Tasks[[#This Row],[_Row]]+1):INDEX(Tasks[_LeafTotalWork],Tasks[[#This Row],[_Row]]+Tasks[[#This Row],[_Descendants]])),Tasks[[#This Row],[_LeafTotalWork]]))</f>
        <v/>
      </c>
      <c r="AT129" s="97" t="str">
        <f aca="false">IF(Tasks[[#This Row],[Task Name]]="","",IF(Tasks[[#This Row],[_IsSummary]],SUM(INDEX(Tasks[_LeafTotalCost],Tasks[[#This Row],[_Row]]+1):INDEX(Tasks[_LeafTotalCost],Tasks[[#This Row],[_Row]]+Tasks[[#This Row],[_Descendants]])),Tasks[[#This Row],[_LeafTotalCost]]))</f>
        <v/>
      </c>
      <c r="AU129" s="98"/>
      <c r="AV129" s="29"/>
      <c r="AW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9" s="83"/>
      <c r="AY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9" s="30"/>
      <c r="BA129" s="25" t="str">
        <f aca="false">IF(Tasks[[#This Row],[Task Name]]="","",Tasks[[#This Row],[Forecast Start]])</f>
        <v/>
      </c>
      <c r="BB129" s="25" t="str">
        <f aca="false">IF(Tasks[[#This Row],[Task Name]]="","",Tasks[[#This Row],[Forecast Finish]])</f>
        <v/>
      </c>
      <c r="BC129" s="28" t="str">
        <f aca="false">IF(Tasks[[#This Row],[Task Name]]="","",IF(Tasks[[#This Row],[_IsSummary]],NETWORKDAYS.INTL(Tasks[[#This Row],[Forecast Start]],Tasks[[#This Row],[Forecast Finish]],WorkWeek,Holidays),N(Tasks[[#This Row],[Duration]])))</f>
        <v/>
      </c>
      <c r="BD129" s="96" t="str">
        <f aca="false">IF(Tasks[[#This Row],[Task Name]]="","",Tasks[[#This Row],[Work]])</f>
        <v/>
      </c>
      <c r="BE129" s="97" t="str">
        <f aca="false">IF(Tasks[[#This Row],[Task Name]]="","",Tasks[[#This Row],[Cost]])</f>
        <v/>
      </c>
      <c r="BF129" s="75"/>
      <c r="BG129" s="75"/>
      <c r="BH129" s="29"/>
      <c r="BI129" s="99"/>
      <c r="BJ129" s="98"/>
      <c r="BK129" s="28" t="str">
        <f aca="false">IF(OR(Tasks[[#This Row],[Task Name]]="",Tasks[[#This Row],[Baseline Duration]]=""),"",Tasks[[#This Row],[BL Source Duration]]-N(Tasks[[#This Row],[Baseline Duration]]))</f>
        <v/>
      </c>
      <c r="BL129" s="96" t="str">
        <f aca="false">IF(OR(Tasks[[#This Row],[Task Name]]="",Tasks[[#This Row],[Baseline Work]]=""),"",Tasks[[#This Row],[Work]]-N(Tasks[[#This Row],[Baseline Work]]))</f>
        <v/>
      </c>
      <c r="BM129" s="97" t="str">
        <f aca="false">IF(OR(Tasks[[#This Row],[Task Name]]="",Tasks[[#This Row],[Baseline Cost]]=""),"",Tasks[[#This Row],[Cost]]-N(Tasks[[#This Row],[Baseline Cost]]))</f>
        <v/>
      </c>
      <c r="BN129" s="97" t="str">
        <f aca="false">IF(Tasks[[#This Row],[Task Name]]="","",IF(Tasks[[#This Row],[_IsSummary]],SUM(INDEX(Tasks[_LeafBudget],Tasks[[#This Row],[_Row]]+1):INDEX(Tasks[_LeafBudget],Tasks[[#This Row],[_Row]]+Tasks[[#This Row],[_Descendants]])),Tasks[[#This Row],[_LeafBudget]]))</f>
        <v/>
      </c>
      <c r="BO129" s="97" t="str">
        <f aca="false">IF(Tasks[[#This Row],[Task Name]]="","",IF(Tasks[[#This Row],[_IsSummary]],SUM(INDEX(Tasks[_LeafPV],Tasks[[#This Row],[_Row]]+1):INDEX(Tasks[_LeafPV],Tasks[[#This Row],[_Row]]+Tasks[[#This Row],[_Descendants]])),Tasks[[#This Row],[_LeafPV]]))</f>
        <v/>
      </c>
      <c r="BP129" s="97" t="str">
        <f aca="false">IF(Tasks[[#This Row],[Task Name]]="","",IF(Tasks[[#This Row],[_IsSummary]],SUM(INDEX(Tasks[_LeafEV],Tasks[[#This Row],[_Row]]+1):INDEX(Tasks[_LeafEV],Tasks[[#This Row],[_Row]]+Tasks[[#This Row],[_Descendants]])),Tasks[[#This Row],[_LeafEV]]))</f>
        <v/>
      </c>
      <c r="BQ129" s="97" t="str">
        <f aca="false">IF(Tasks[[#This Row],[Task Name]]="","",IF(Tasks[[#This Row],[_IsSummary]],SUM(INDEX(Tasks[_LeafAC],Tasks[[#This Row],[_Row]]+1):INDEX(Tasks[_LeafAC],Tasks[[#This Row],[_Row]]+Tasks[[#This Row],[_Descendants]])),Tasks[[#This Row],[_LeafAC]]))</f>
        <v/>
      </c>
      <c r="BR129" s="41" t="str">
        <f aca="false">IF(Tasks[[#This Row],[Task Name]]="","",MAX(1,N(Tasks[[#This Row],[Level]])))</f>
        <v/>
      </c>
      <c r="BS129" s="41" t="n">
        <f aca="false">ROW()-ROW(Tasks[[#Headers],[ID]])</f>
        <v>124</v>
      </c>
      <c r="BT129" s="41" t="n">
        <f aca="false">IF(OR(Tasks[[#This Row],[Task Name]]="",Tasks[[#This Row],[_Level]]&lt;=1),0,IFERROR(LOOKUP(2,1/(Tasks[[#Headers],[_Level]]:Tasks[[#This Row],[_Level]]=Tasks[[#This Row],[_Level]]-1),ROW(Tasks[[#Headers],[_Level]]:Tasks[[#This Row],[_Level]])),0))</f>
        <v>0</v>
      </c>
      <c r="BU129" s="41" t="n">
        <f aca="false">IFERROR(N(INDEX(Tasks[_Level],Tasks[[#This Row],[_Row]]+1)),0)</f>
        <v>0</v>
      </c>
      <c r="BV129" s="100" t="b">
        <f aca="false">AND(Tasks[[#This Row],[Task Name]]&lt;&gt;"",Tasks[[#This Row],[_NextLevel]]&gt;Tasks[[#This Row],[_Level]])</f>
        <v>0</v>
      </c>
      <c r="BW129" s="41" t="n">
        <f aca="false">IF(Tasks[[#This Row],[_IsSummary]],COUNTIF(Tasks[WBS],Tasks[[#This Row],[WBS]]&amp;".*"),0)</f>
        <v>0</v>
      </c>
      <c r="BX129" s="41" t="n">
        <f aca="false">IF(AND(Tasks[[#This Row],[Task Name]]&lt;&gt;"",NOT(Tasks[[#This Row],[_IsSummary]])),1,0)</f>
        <v>0</v>
      </c>
      <c r="BY129" s="41" t="n">
        <f aca="false">IF(N(Tasks[[#This Row],[Pred1 UID]])=0,0,IFERROR(MATCH(Tasks[[#This Row],[Pred1 UID]],Tasks[UID],0),-1))</f>
        <v>0</v>
      </c>
      <c r="BZ129" s="41" t="n">
        <f aca="false">IF(N(Tasks[[#This Row],[Pred2 UID]])=0,0,IFERROR(MATCH(Tasks[[#This Row],[Pred2 UID]],Tasks[UID],0),-1))</f>
        <v>0</v>
      </c>
      <c r="CA129" s="41" t="n">
        <f aca="false">IF(N(Tasks[[#This Row],[Pred3 UID]])=0,0,IFERROR(MATCH(Tasks[[#This Row],[Pred3 UID]],Tasks[UID],0),-1))</f>
        <v>0</v>
      </c>
      <c r="CB129" s="41" t="n">
        <f aca="false">IF(N(Tasks[[#This Row],[Pred4 UID]])=0,0,IFERROR(MATCH(Tasks[[#This Row],[Pred4 UID]],Tasks[UID],0),-1))</f>
        <v>0</v>
      </c>
      <c r="CC1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9" s="101" t="n">
        <f aca="false">IF(OR(Tasks[[#This Row],[_ConstraintCode]]=2,Tasks[[#This Row],[_ConstraintCode]]=3,Tasks[[#This Row],[_ConstraintCode]]=4,Tasks[[#This Row],[_ConstraintCode]]=6),Tasks[[#This Row],[_ConstraintStart]],0)</f>
        <v>0</v>
      </c>
      <c r="CF129" s="101" t="n">
        <f aca="false">IF(OR(Tasks[[#This Row],[_ConstraintCode]]=2,Tasks[[#This Row],[_ConstraintCode]]=3,Tasks[[#This Row],[_ConstraintCode]]=5,Tasks[[#This Row],[_ConstraintCode]]=7),Tasks[[#This Row],[_ConstraintStart]],2958465)</f>
        <v>2958465</v>
      </c>
      <c r="CG12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9" s="101" t="str">
        <f aca="false">IF(NOT(Tasks[[#This Row],[_IsLeaf]]=1),"",IF(N(Tasks[[#This Row],[Duration]])&lt;=0,Tasks[[#This Row],[_LeafCalcStart]],WORKDAY.INTL(Tasks[[#This Row],[_LeafCalcStart]],Tasks[[#This Row],[Duration]]-1,WorkWeek,Holidays)))</f>
        <v/>
      </c>
      <c r="CI12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9" s="41" t="n">
        <f aca="false">IF(NOT(Tasks[[#This Row],[_IsLeaf]]=1),0,IF(N(Tasks[[#This Row],[Actual Finish]])&gt;0,1,MIN(1,N(Tasks[[#This Row],[% Complete]]))))</f>
        <v>0</v>
      </c>
      <c r="CL129" s="41" t="n">
        <f aca="false">IF(OR(NOT(Tasks[[#This Row],[_IsLeaf]]=1),Tasks[[#This Row],[Resource]]=""),0,N(Tasks[[#This Row],[Duration]])*HoursPerDay*IF(Tasks[[#This Row],[Units]]="",DefaultUnits,Tasks[[#This Row],[Units]]))</f>
        <v>0</v>
      </c>
      <c r="CM129" s="41" t="n">
        <f aca="false">IF(Tasks[[#This Row],[_LeafWork]]=0,0,Tasks[[#This Row],[_LeafWork]]*IFERROR(INDEX(res_Rate,MATCH(Tasks[[#This Row],[Resource]],res_Name,0)),0))</f>
        <v>0</v>
      </c>
      <c r="CN129" s="41" t="n">
        <f aca="false">Tasks[[#This Row],[_LeafWork]]+IF(Tasks[[#This Row],[_IsLeaf]]=1,SUMIFS(asg_Work,asg_TaskUID,Tasks[[#This Row],[UID]],asg_Valid,1),0)</f>
        <v>0</v>
      </c>
      <c r="CO129" s="41" t="n">
        <f aca="false">Tasks[[#This Row],[_LeafCost]]+IF(Tasks[[#This Row],[_IsLeaf]]=1,SUMIFS(asg_Cost,asg_TaskUID,Tasks[[#This Row],[UID]],asg_Valid,1),0)</f>
        <v>0</v>
      </c>
      <c r="CP129" s="41" t="n">
        <f aca="false">IF(Tasks[[#This Row],[_LeafTotalCost]]=0,Tasks[[#This Row],[_LeafAC]],Tasks[[#This Row],[_LeafAC]]*Tasks[[#This Row],[_LeafCost]]/Tasks[[#This Row],[_LeafTotalCost]])</f>
        <v>0</v>
      </c>
      <c r="CQ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9" s="41" t="n">
        <f aca="false">IF(NOT(Tasks[[#This Row],[_IsLeaf]]=1),0,MAX(_xlfn.MAXIFS(Tasks[_Row],Tasks[Pred1 UID],Tasks[[#This Row],[UID]]),_xlfn.MAXIFS(Tasks[_Row],Tasks[Pred2 UID],Tasks[[#This Row],[UID]]),_xlfn.MAXIFS(Tasks[_Row],Tasks[Pred3 UID],Tasks[[#This Row],[UID]]),_xlfn.MAXIFS(Tasks[_Row],Tasks[Pred4 UID],Tasks[[#This Row],[UID]])))</f>
        <v>0</v>
      </c>
      <c r="CZ1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9" s="101" t="str">
        <f aca="false">IF(NOT(Tasks[[#This Row],[_IsLeaf]]=1),"",IF(N(Tasks[[#This Row],[Duration]])&lt;=0,Tasks[[#This Row],[_LeafLateFinish]],WORKDAY.INTL(Tasks[[#This Row],[_LeafLateFinish]],-(Tasks[[#This Row],[Duration]]-1),WorkWeek,Holidays)))</f>
        <v/>
      </c>
      <c r="DC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9" s="100" t="b">
        <f aca="false">AND(Tasks[[#This Row],[_IsLeaf]]=1,Tasks[[#This Row],[_LeafProgress]]&lt;1,N(Tasks[[#This Row],[_LeafTotalSlack]])&lt;=CriticalSlackDays)</f>
        <v>0</v>
      </c>
      <c r="DE129" s="41" t="n">
        <f aca="false">IF(AND(Tasks[[#This Row],[_IsLeaf]]=1,Tasks[[#This Row],[_ConstraintCode]]=1,Tasks[[#This Row],[Mode]]&lt;&gt;"Manual",N(Tasks[[#This Row],[Actual Start]])=0),MAX(0,N(Tasks[[#This Row],[Free Slack]])),0)</f>
        <v>0</v>
      </c>
      <c r="DF129" s="101" t="str">
        <f aca="false">IF(NOT(Tasks[[#This Row],[_IsLeaf]]=1),"",IF(Tasks[[#This Row],[_AlapShift]]=0,Tasks[[#This Row],[_LeafCalcStart]],WORKDAY.INTL(Tasks[[#This Row],[_LeafCalcStart]],Tasks[[#This Row],[_AlapShift]],WorkWeek,Holidays)))</f>
        <v/>
      </c>
      <c r="DG129" s="101" t="str">
        <f aca="false">IF(NOT(Tasks[[#This Row],[_IsLeaf]]=1),"",IF(Tasks[[#This Row],[_AlapShift]]=0,Tasks[[#This Row],[_LeafCalcFinish]],WORKDAY.INTL(Tasks[[#This Row],[_LeafCalcFinish]],Tasks[[#This Row],[_AlapShift]],WorkWeek,Holidays)))</f>
        <v/>
      </c>
      <c r="DH129" s="101" t="str">
        <f aca="false">IF(NOT(Tasks[[#This Row],[_IsLeaf]]=1),"",IF(Tasks[[#This Row],[_AlapShift]]=0,Tasks[[#This Row],[_LeafFcstStart]],WORKDAY.INTL(Tasks[[#This Row],[_LeafFcstStart]],Tasks[[#This Row],[_AlapShift]],WorkWeek,Holidays)))</f>
        <v/>
      </c>
      <c r="DI129" s="101" t="str">
        <f aca="false">IF(NOT(Tasks[[#This Row],[_IsLeaf]]=1),"",IF(Tasks[[#This Row],[_AlapShift]]=0,Tasks[[#This Row],[_LeafFcstFinish]],WORKDAY.INTL(Tasks[[#This Row],[_LeafFcstFinish]],Tasks[[#This Row],[_AlapShift]],WorkWeek,Holidays)))</f>
        <v/>
      </c>
      <c r="DJ129" s="101" t="str">
        <f aca="false">IF(Tasks[[#This Row],[Task Name]]="","",IF(Tasks[[#This Row],[_IsSummary]],MIN(INDEX(Tasks[_ShownCalcStart],Tasks[[#This Row],[_Row]]+1):INDEX(Tasks[_ShownCalcStart],Tasks[[#This Row],[_Row]]+Tasks[[#This Row],[_Descendants]])),Tasks[[#This Row],[_ShownCalcStart]]))</f>
        <v/>
      </c>
      <c r="DK129" s="101" t="str">
        <f aca="false">IF(Tasks[[#This Row],[Task Name]]="","",IF(Tasks[[#This Row],[_IsSummary]],MAX(INDEX(Tasks[_ShownCalcFinish],Tasks[[#This Row],[_Row]]+1):INDEX(Tasks[_ShownCalcFinish],Tasks[[#This Row],[_Row]]+Tasks[[#This Row],[_Descendants]])),Tasks[[#This Row],[_ShownCalcFinish]]))</f>
        <v/>
      </c>
      <c r="D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9" s="41" t="n">
        <f aca="false">IF(AND(Tasks[[#This Row],[_IsLeaf]]=1,Tasks[[#This Row],[_LeafTotalWork]]&gt;0),NETWORKDAYS.INTL(ProjectStart,Tasks[[#This Row],[_ShownFcstStart]],WorkWeek,Holidays),0)</f>
        <v>0</v>
      </c>
      <c r="DY129" s="41" t="n">
        <f aca="false">IF(AND(Tasks[[#This Row],[_IsLeaf]]=1,Tasks[[#This Row],[_LeafTotalWork]]&gt;0),MAX(Tasks[[#This Row],[_StartWorkday]],NETWORKDAYS.INTL(ProjectStart,Tasks[[#This Row],[_ShownFcstFinish]],WorkWeek,Holidays)),0)</f>
        <v>0</v>
      </c>
      <c r="DZ129" s="41" t="n">
        <f aca="false">IF(AND(Tasks[[#This Row],[_IsLeaf]]=1,Tasks[[#This Row],[_LeafTotalWork]]&gt;0),Tasks[[#This Row],[_LeafWork]]/(Tasks[[#This Row],[_FinishWorkday]]-Tasks[[#This Row],[_StartWorkday]]+1),0)</f>
        <v>0</v>
      </c>
      <c r="EA129" s="41" t="n">
        <f aca="false">Tasks[[#This Row],[_WorkPerWorkday]]*(Tasks[[#This Row],[_StartWorkday]]-1)</f>
        <v>-0</v>
      </c>
      <c r="EB129" s="41" t="n">
        <f aca="false">IF(Tasks[[#This Row],[_IsLeaf]]=1,MAX(N(Tasks[[#This Row],[Duration]]),0.1),0)</f>
        <v>0</v>
      </c>
      <c r="EC129" s="41" t="n">
        <f aca="false">Tasks[[#This Row],[_WeightDur]]*Tasks[[#This Row],[_LeafProgress]]</f>
        <v>0</v>
      </c>
      <c r="ED1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9" s="41" t="str">
        <f aca="false">IF(AND(Tasks[[#This Row],[_IsLeaf]]=1,N(Tasks[[#This Row],[Duration]])=0,Tasks[[#This Row],[_LeafProgress]]&lt;1),Tasks[[#This Row],[_ShownFcstFinish]]+Tasks[[#This Row],[_Row]]/100000,"")</f>
        <v/>
      </c>
      <c r="EF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9" s="41" t="n">
        <f aca="false">IF(NOT(Tasks[[#This Row],[_IsLeaf]]=1),0,IF(Tasks[[#This Row],[Baseline Cost]]="",Tasks[[#This Row],[_LeafTotalCost]],N(Tasks[[#This Row],[Baseline Cost]])))</f>
        <v>0</v>
      </c>
      <c r="EH129" s="41" t="n">
        <f aca="false">Tasks[[#This Row],[_LeafBudget]]*Tasks[[#This Row],[_PlannedPct]]</f>
        <v>0</v>
      </c>
      <c r="EI129" s="41" t="n">
        <f aca="false">Tasks[[#This Row],[_LeafBudget]]*Tasks[[#This Row],[_LeafProgress]]</f>
        <v>0</v>
      </c>
      <c r="EJ129" s="41" t="n">
        <f aca="false">IF(NOT(Tasks[[#This Row],[_IsLeaf]]=1),0,IF(Tasks[[#This Row],[Actual Cost]]="",Tasks[[#This Row],[_LeafTotalCost]]*Tasks[[#This Row],[_LeafProgress]],N(Tasks[[#This Row],[Actual Cost]])))</f>
        <v>0</v>
      </c>
      <c r="EK129" s="41" t="str">
        <f aca="false">IF(Tasks[[#This Row],[Task Name]]="","",LEFT(Tasks[[#This Row],[WBS]],FIND(".",Tasks[[#This Row],[WBS]]&amp;".")-1))</f>
        <v/>
      </c>
      <c r="EL129" s="41" t="str">
        <f aca="false">IF(AND(Tasks[[#This Row],[Task Name]]&lt;&gt;"",Tasks[[#This Row],[_Level]]=1),Tasks[[#This Row],[_Row]],"")</f>
        <v/>
      </c>
      <c r="EM129" s="41" t="str">
        <f aca="false">IF(AND(Tasks[[#This Row],[_IsLeaf]]=1,N(Tasks[[#This Row],[Duration]])=0),Tasks[[#This Row],[Planned Finish]]+Tasks[[#This Row],[_Row]]/100000,"")</f>
        <v/>
      </c>
      <c r="EN129" s="41" t="str">
        <f aca="false">IF(AND(Tasks[[#This Row],[_IsLeaf]]=1,Tasks[[#This Row],[_LeafProgress]]&lt;1,OR(N(Tasks[[#This Row],[Finish Var]])&gt;0,Tasks[[#This Row],[Status]]="Late Start")),MAX(0,Tasks[[#This Row],[Finish Var]])+1-Tasks[[#This Row],[_Row]]/1000000,"")</f>
        <v/>
      </c>
      <c r="EO129" s="41" t="str">
        <f aca="false">IF(AND(Tasks[[#This Row],[_IsLeaf]]=1,N(Tasks[[#This Row],[Actual Start]])=0,Tasks[[#This Row],[_ShownFcstStart]]&gt;=StatusDate,Tasks[[#This Row],[_ShownFcstStart]]&lt;=LookaheadEnd),Tasks[[#This Row],[_ShownFcstStart]]+Tasks[[#This Row],[_Row]]/100000,"")</f>
        <v/>
      </c>
      <c r="EP129" s="41" t="str">
        <f aca="false">IF(AND(Tasks[[#This Row],[_IsLeaf]]=1,Tasks[[#This Row],[_LeafProgress]]&lt;1,Tasks[[#This Row],[_ShownFcstFinish]]&gt;=StatusDate,Tasks[[#This Row],[_ShownFcstFinish]]&lt;=LookaheadEnd),Tasks[[#This Row],[_ShownFcstFinish]]+Tasks[[#This Row],[_Row]]/100000,"")</f>
        <v/>
      </c>
      <c r="EQ129" s="41" t="str">
        <f aca="false">IF(Tasks[[#This Row],[_LeafCritical]],Tasks[[#This Row],[_ShownFcstStart]]+Tasks[[#This Row],[_Row]]/100000,"")</f>
        <v/>
      </c>
      <c r="ER129" s="41" t="n">
        <f aca="false">Tasks[[#This Row],[_LeafWork]]*Tasks[[#This Row],[_LeafProgress]]</f>
        <v>0</v>
      </c>
      <c r="ES129" s="101" t="str">
        <f aca="false">IF(AND(Tasks[[#This Row],[_IsLeaf]]=1,Tasks[[#This Row],[_LeafProgress]]&gt;=1),IF(N(Tasks[[#This Row],[Actual Finish]])&gt;0,Tasks[[#This Row],[Actual Finish]],Tasks[[#This Row],[_ShownFcstFinish]]),"")</f>
        <v/>
      </c>
      <c r="ET129" s="41" t="n">
        <f aca="false">IF(Tasks[[#This Row],[_IsLeaf]]=1,N(Tasks[[#This Row],[Story Points]]),0)</f>
        <v>0</v>
      </c>
      <c r="EU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29"/>
      <c r="O130" s="29"/>
      <c r="P130" s="29"/>
      <c r="Q130" s="29"/>
      <c r="R130" s="29"/>
      <c r="S130" s="29"/>
      <c r="T130" s="30"/>
      <c r="U130" s="75"/>
      <c r="V130" s="75"/>
      <c r="W130" s="25" t="str">
        <f aca="false">IF(Tasks[[#This Row],[Task Name]]="","",IF(N(Tasks[[#This Row],[Baseline Start]])&gt;0,Tasks[[#This Row],[Baseline Start]],Tasks[[#This Row],[_CalcStart]]))</f>
        <v/>
      </c>
      <c r="X130" s="25" t="str">
        <f aca="false">IF(Tasks[[#This Row],[Task Name]]="","",IF(N(Tasks[[#This Row],[Baseline Finish]])&gt;0,Tasks[[#This Row],[Baseline Finish]],Tasks[[#This Row],[_CalcFinish]]))</f>
        <v/>
      </c>
      <c r="Y130" s="75"/>
      <c r="Z130" s="75"/>
      <c r="AA130" s="25" t="str">
        <f aca="false">IF(Tasks[[#This Row],[Task Name]]="","",IF(Tasks[[#This Row],[_IsSummary]],MIN(INDEX(Tasks[_ShownFcstStart],Tasks[[#This Row],[_Row]]+1):INDEX(Tasks[_ShownFcstStart],Tasks[[#This Row],[_Row]]+Tasks[[#This Row],[_Descendants]])),Tasks[[#This Row],[_ShownFcstStart]]))</f>
        <v/>
      </c>
      <c r="AB130" s="25" t="str">
        <f aca="false">IF(Tasks[[#This Row],[Task Name]]="","",IF(Tasks[[#This Row],[_IsSummary]],MAX(INDEX(Tasks[_ShownFcstFinish],Tasks[[#This Row],[_Row]]+1):INDEX(Tasks[_ShownFcstFinish],Tasks[[#This Row],[_Row]]+Tasks[[#This Row],[_Descendants]])),Tasks[[#This Row],[_ShownFcstFinish]]))</f>
        <v/>
      </c>
      <c r="AC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0" s="25" t="str">
        <f aca="false">IF(Tasks[[#This Row],[Task Name]]="","",IF(Tasks[[#This Row],[_IsSummary]],MIN(INDEX(Tasks[_LeafLateStart],Tasks[[#This Row],[_Row]]+1):INDEX(Tasks[_LeafLateStart],Tasks[[#This Row],[_Row]]+Tasks[[#This Row],[_Descendants]])),Tasks[[#This Row],[_LeafLateStart]]))</f>
        <v/>
      </c>
      <c r="AF130" s="25" t="str">
        <f aca="false">IF(Tasks[[#This Row],[Task Name]]="","",IF(Tasks[[#This Row],[_IsSummary]],MAX(INDEX(Tasks[_LeafLateFinish],Tasks[[#This Row],[_Row]]+1):INDEX(Tasks[_LeafLateFinish],Tasks[[#This Row],[_Row]]+Tasks[[#This Row],[_Descendants]])),Tasks[[#This Row],[_LeafLateFinish]]))</f>
        <v/>
      </c>
      <c r="AG130" s="28" t="str">
        <f aca="false">IF(Tasks[[#This Row],[Task Name]]="","",IF(Tasks[[#This Row],[_IsSummary]],MIN(INDEX(Tasks[_LeafTotalSlack],Tasks[[#This Row],[_Row]]+1):INDEX(Tasks[_LeafTotalSlack],Tasks[[#This Row],[_Row]]+Tasks[[#This Row],[_Descendants]])),Tasks[[#This Row],[_LeafTotalSlack]]))</f>
        <v/>
      </c>
      <c r="AH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0" s="28" t="str">
        <f aca="false">IF(Tasks[[#This Row],[Task Name]]="","",IF(IF(Tasks[[#This Row],[_IsSummary]],COUNTIF(INDEX(Tasks[_LeafCritical],Tasks[[#This Row],[_Row]]+1):INDEX(Tasks[_LeafCritical],Tasks[[#This Row],[_Row]]+Tasks[[#This Row],[_Descendants]]),TRUE())&gt;0,Tasks[[#This Row],[_LeafCritical]]),"Yes",""))</f>
        <v/>
      </c>
      <c r="AJ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0" s="89"/>
      <c r="AM1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0" s="28" t="str">
        <f aca="false">IF(Tasks[[#This Row],[Task Name]]="","",IF(Tasks[[#This Row],[Progress]]&gt;=1,"Complete",IF(OR(N(Tasks[[#This Row],[Actual Start]])&gt;0,Tasks[[#This Row],[Progress]]&gt;0),IF(Tasks[[#This Row],[Finish Var]]&gt;0,"Behind","In Progress"),IF(Tasks[[#This Row],[Planned Start]]&lt;StatusDate,"Late Start","Not Started"))))</f>
        <v/>
      </c>
      <c r="AO130" s="30"/>
      <c r="AP130" s="89"/>
      <c r="AQ1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0" s="96" t="str">
        <f aca="false">IF(Tasks[[#This Row],[Task Name]]="","",IF(Tasks[[#This Row],[_IsSummary]],SUM(INDEX(Tasks[_LeafTotalWork],Tasks[[#This Row],[_Row]]+1):INDEX(Tasks[_LeafTotalWork],Tasks[[#This Row],[_Row]]+Tasks[[#This Row],[_Descendants]])),Tasks[[#This Row],[_LeafTotalWork]]))</f>
        <v/>
      </c>
      <c r="AT130" s="97" t="str">
        <f aca="false">IF(Tasks[[#This Row],[Task Name]]="","",IF(Tasks[[#This Row],[_IsSummary]],SUM(INDEX(Tasks[_LeafTotalCost],Tasks[[#This Row],[_Row]]+1):INDEX(Tasks[_LeafTotalCost],Tasks[[#This Row],[_Row]]+Tasks[[#This Row],[_Descendants]])),Tasks[[#This Row],[_LeafTotalCost]]))</f>
        <v/>
      </c>
      <c r="AU130" s="98"/>
      <c r="AV130" s="29"/>
      <c r="AW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0" s="83"/>
      <c r="AY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0" s="30"/>
      <c r="BA130" s="25" t="str">
        <f aca="false">IF(Tasks[[#This Row],[Task Name]]="","",Tasks[[#This Row],[Forecast Start]])</f>
        <v/>
      </c>
      <c r="BB130" s="25" t="str">
        <f aca="false">IF(Tasks[[#This Row],[Task Name]]="","",Tasks[[#This Row],[Forecast Finish]])</f>
        <v/>
      </c>
      <c r="BC130" s="28" t="str">
        <f aca="false">IF(Tasks[[#This Row],[Task Name]]="","",IF(Tasks[[#This Row],[_IsSummary]],NETWORKDAYS.INTL(Tasks[[#This Row],[Forecast Start]],Tasks[[#This Row],[Forecast Finish]],WorkWeek,Holidays),N(Tasks[[#This Row],[Duration]])))</f>
        <v/>
      </c>
      <c r="BD130" s="96" t="str">
        <f aca="false">IF(Tasks[[#This Row],[Task Name]]="","",Tasks[[#This Row],[Work]])</f>
        <v/>
      </c>
      <c r="BE130" s="97" t="str">
        <f aca="false">IF(Tasks[[#This Row],[Task Name]]="","",Tasks[[#This Row],[Cost]])</f>
        <v/>
      </c>
      <c r="BF130" s="75"/>
      <c r="BG130" s="75"/>
      <c r="BH130" s="29"/>
      <c r="BI130" s="99"/>
      <c r="BJ130" s="98"/>
      <c r="BK130" s="28" t="str">
        <f aca="false">IF(OR(Tasks[[#This Row],[Task Name]]="",Tasks[[#This Row],[Baseline Duration]]=""),"",Tasks[[#This Row],[BL Source Duration]]-N(Tasks[[#This Row],[Baseline Duration]]))</f>
        <v/>
      </c>
      <c r="BL130" s="96" t="str">
        <f aca="false">IF(OR(Tasks[[#This Row],[Task Name]]="",Tasks[[#This Row],[Baseline Work]]=""),"",Tasks[[#This Row],[Work]]-N(Tasks[[#This Row],[Baseline Work]]))</f>
        <v/>
      </c>
      <c r="BM130" s="97" t="str">
        <f aca="false">IF(OR(Tasks[[#This Row],[Task Name]]="",Tasks[[#This Row],[Baseline Cost]]=""),"",Tasks[[#This Row],[Cost]]-N(Tasks[[#This Row],[Baseline Cost]]))</f>
        <v/>
      </c>
      <c r="BN130" s="97" t="str">
        <f aca="false">IF(Tasks[[#This Row],[Task Name]]="","",IF(Tasks[[#This Row],[_IsSummary]],SUM(INDEX(Tasks[_LeafBudget],Tasks[[#This Row],[_Row]]+1):INDEX(Tasks[_LeafBudget],Tasks[[#This Row],[_Row]]+Tasks[[#This Row],[_Descendants]])),Tasks[[#This Row],[_LeafBudget]]))</f>
        <v/>
      </c>
      <c r="BO130" s="97" t="str">
        <f aca="false">IF(Tasks[[#This Row],[Task Name]]="","",IF(Tasks[[#This Row],[_IsSummary]],SUM(INDEX(Tasks[_LeafPV],Tasks[[#This Row],[_Row]]+1):INDEX(Tasks[_LeafPV],Tasks[[#This Row],[_Row]]+Tasks[[#This Row],[_Descendants]])),Tasks[[#This Row],[_LeafPV]]))</f>
        <v/>
      </c>
      <c r="BP130" s="97" t="str">
        <f aca="false">IF(Tasks[[#This Row],[Task Name]]="","",IF(Tasks[[#This Row],[_IsSummary]],SUM(INDEX(Tasks[_LeafEV],Tasks[[#This Row],[_Row]]+1):INDEX(Tasks[_LeafEV],Tasks[[#This Row],[_Row]]+Tasks[[#This Row],[_Descendants]])),Tasks[[#This Row],[_LeafEV]]))</f>
        <v/>
      </c>
      <c r="BQ130" s="97" t="str">
        <f aca="false">IF(Tasks[[#This Row],[Task Name]]="","",IF(Tasks[[#This Row],[_IsSummary]],SUM(INDEX(Tasks[_LeafAC],Tasks[[#This Row],[_Row]]+1):INDEX(Tasks[_LeafAC],Tasks[[#This Row],[_Row]]+Tasks[[#This Row],[_Descendants]])),Tasks[[#This Row],[_LeafAC]]))</f>
        <v/>
      </c>
      <c r="BR130" s="41" t="str">
        <f aca="false">IF(Tasks[[#This Row],[Task Name]]="","",MAX(1,N(Tasks[[#This Row],[Level]])))</f>
        <v/>
      </c>
      <c r="BS130" s="41" t="n">
        <f aca="false">ROW()-ROW(Tasks[[#Headers],[ID]])</f>
        <v>125</v>
      </c>
      <c r="BT130" s="41" t="n">
        <f aca="false">IF(OR(Tasks[[#This Row],[Task Name]]="",Tasks[[#This Row],[_Level]]&lt;=1),0,IFERROR(LOOKUP(2,1/(Tasks[[#Headers],[_Level]]:Tasks[[#This Row],[_Level]]=Tasks[[#This Row],[_Level]]-1),ROW(Tasks[[#Headers],[_Level]]:Tasks[[#This Row],[_Level]])),0))</f>
        <v>0</v>
      </c>
      <c r="BU130" s="41" t="n">
        <f aca="false">IFERROR(N(INDEX(Tasks[_Level],Tasks[[#This Row],[_Row]]+1)),0)</f>
        <v>0</v>
      </c>
      <c r="BV130" s="100" t="b">
        <f aca="false">AND(Tasks[[#This Row],[Task Name]]&lt;&gt;"",Tasks[[#This Row],[_NextLevel]]&gt;Tasks[[#This Row],[_Level]])</f>
        <v>0</v>
      </c>
      <c r="BW130" s="41" t="n">
        <f aca="false">IF(Tasks[[#This Row],[_IsSummary]],COUNTIF(Tasks[WBS],Tasks[[#This Row],[WBS]]&amp;".*"),0)</f>
        <v>0</v>
      </c>
      <c r="BX130" s="41" t="n">
        <f aca="false">IF(AND(Tasks[[#This Row],[Task Name]]&lt;&gt;"",NOT(Tasks[[#This Row],[_IsSummary]])),1,0)</f>
        <v>0</v>
      </c>
      <c r="BY130" s="41" t="n">
        <f aca="false">IF(N(Tasks[[#This Row],[Pred1 UID]])=0,0,IFERROR(MATCH(Tasks[[#This Row],[Pred1 UID]],Tasks[UID],0),-1))</f>
        <v>0</v>
      </c>
      <c r="BZ130" s="41" t="n">
        <f aca="false">IF(N(Tasks[[#This Row],[Pred2 UID]])=0,0,IFERROR(MATCH(Tasks[[#This Row],[Pred2 UID]],Tasks[UID],0),-1))</f>
        <v>0</v>
      </c>
      <c r="CA130" s="41" t="n">
        <f aca="false">IF(N(Tasks[[#This Row],[Pred3 UID]])=0,0,IFERROR(MATCH(Tasks[[#This Row],[Pred3 UID]],Tasks[UID],0),-1))</f>
        <v>0</v>
      </c>
      <c r="CB130" s="41" t="n">
        <f aca="false">IF(N(Tasks[[#This Row],[Pred4 UID]])=0,0,IFERROR(MATCH(Tasks[[#This Row],[Pred4 UID]],Tasks[UID],0),-1))</f>
        <v>0</v>
      </c>
      <c r="CC1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0" s="101" t="n">
        <f aca="false">IF(OR(Tasks[[#This Row],[_ConstraintCode]]=2,Tasks[[#This Row],[_ConstraintCode]]=3,Tasks[[#This Row],[_ConstraintCode]]=4,Tasks[[#This Row],[_ConstraintCode]]=6),Tasks[[#This Row],[_ConstraintStart]],0)</f>
        <v>0</v>
      </c>
      <c r="CF130" s="101" t="n">
        <f aca="false">IF(OR(Tasks[[#This Row],[_ConstraintCode]]=2,Tasks[[#This Row],[_ConstraintCode]]=3,Tasks[[#This Row],[_ConstraintCode]]=5,Tasks[[#This Row],[_ConstraintCode]]=7),Tasks[[#This Row],[_ConstraintStart]],2958465)</f>
        <v>2958465</v>
      </c>
      <c r="CG13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0" s="101" t="str">
        <f aca="false">IF(NOT(Tasks[[#This Row],[_IsLeaf]]=1),"",IF(N(Tasks[[#This Row],[Duration]])&lt;=0,Tasks[[#This Row],[_LeafCalcStart]],WORKDAY.INTL(Tasks[[#This Row],[_LeafCalcStart]],Tasks[[#This Row],[Duration]]-1,WorkWeek,Holidays)))</f>
        <v/>
      </c>
      <c r="CI13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0" s="41" t="n">
        <f aca="false">IF(NOT(Tasks[[#This Row],[_IsLeaf]]=1),0,IF(N(Tasks[[#This Row],[Actual Finish]])&gt;0,1,MIN(1,N(Tasks[[#This Row],[% Complete]]))))</f>
        <v>0</v>
      </c>
      <c r="CL130" s="41" t="n">
        <f aca="false">IF(OR(NOT(Tasks[[#This Row],[_IsLeaf]]=1),Tasks[[#This Row],[Resource]]=""),0,N(Tasks[[#This Row],[Duration]])*HoursPerDay*IF(Tasks[[#This Row],[Units]]="",DefaultUnits,Tasks[[#This Row],[Units]]))</f>
        <v>0</v>
      </c>
      <c r="CM130" s="41" t="n">
        <f aca="false">IF(Tasks[[#This Row],[_LeafWork]]=0,0,Tasks[[#This Row],[_LeafWork]]*IFERROR(INDEX(res_Rate,MATCH(Tasks[[#This Row],[Resource]],res_Name,0)),0))</f>
        <v>0</v>
      </c>
      <c r="CN130" s="41" t="n">
        <f aca="false">Tasks[[#This Row],[_LeafWork]]+IF(Tasks[[#This Row],[_IsLeaf]]=1,SUMIFS(asg_Work,asg_TaskUID,Tasks[[#This Row],[UID]],asg_Valid,1),0)</f>
        <v>0</v>
      </c>
      <c r="CO130" s="41" t="n">
        <f aca="false">Tasks[[#This Row],[_LeafCost]]+IF(Tasks[[#This Row],[_IsLeaf]]=1,SUMIFS(asg_Cost,asg_TaskUID,Tasks[[#This Row],[UID]],asg_Valid,1),0)</f>
        <v>0</v>
      </c>
      <c r="CP130" s="41" t="n">
        <f aca="false">IF(Tasks[[#This Row],[_LeafTotalCost]]=0,Tasks[[#This Row],[_LeafAC]],Tasks[[#This Row],[_LeafAC]]*Tasks[[#This Row],[_LeafCost]]/Tasks[[#This Row],[_LeafTotalCost]])</f>
        <v>0</v>
      </c>
      <c r="CQ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0" s="41" t="n">
        <f aca="false">IF(NOT(Tasks[[#This Row],[_IsLeaf]]=1),0,MAX(_xlfn.MAXIFS(Tasks[_Row],Tasks[Pred1 UID],Tasks[[#This Row],[UID]]),_xlfn.MAXIFS(Tasks[_Row],Tasks[Pred2 UID],Tasks[[#This Row],[UID]]),_xlfn.MAXIFS(Tasks[_Row],Tasks[Pred3 UID],Tasks[[#This Row],[UID]]),_xlfn.MAXIFS(Tasks[_Row],Tasks[Pred4 UID],Tasks[[#This Row],[UID]])))</f>
        <v>0</v>
      </c>
      <c r="CZ1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0" s="101" t="str">
        <f aca="false">IF(NOT(Tasks[[#This Row],[_IsLeaf]]=1),"",IF(N(Tasks[[#This Row],[Duration]])&lt;=0,Tasks[[#This Row],[_LeafLateFinish]],WORKDAY.INTL(Tasks[[#This Row],[_LeafLateFinish]],-(Tasks[[#This Row],[Duration]]-1),WorkWeek,Holidays)))</f>
        <v/>
      </c>
      <c r="DC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0" s="100" t="b">
        <f aca="false">AND(Tasks[[#This Row],[_IsLeaf]]=1,Tasks[[#This Row],[_LeafProgress]]&lt;1,N(Tasks[[#This Row],[_LeafTotalSlack]])&lt;=CriticalSlackDays)</f>
        <v>0</v>
      </c>
      <c r="DE130" s="41" t="n">
        <f aca="false">IF(AND(Tasks[[#This Row],[_IsLeaf]]=1,Tasks[[#This Row],[_ConstraintCode]]=1,Tasks[[#This Row],[Mode]]&lt;&gt;"Manual",N(Tasks[[#This Row],[Actual Start]])=0),MAX(0,N(Tasks[[#This Row],[Free Slack]])),0)</f>
        <v>0</v>
      </c>
      <c r="DF130" s="101" t="str">
        <f aca="false">IF(NOT(Tasks[[#This Row],[_IsLeaf]]=1),"",IF(Tasks[[#This Row],[_AlapShift]]=0,Tasks[[#This Row],[_LeafCalcStart]],WORKDAY.INTL(Tasks[[#This Row],[_LeafCalcStart]],Tasks[[#This Row],[_AlapShift]],WorkWeek,Holidays)))</f>
        <v/>
      </c>
      <c r="DG130" s="101" t="str">
        <f aca="false">IF(NOT(Tasks[[#This Row],[_IsLeaf]]=1),"",IF(Tasks[[#This Row],[_AlapShift]]=0,Tasks[[#This Row],[_LeafCalcFinish]],WORKDAY.INTL(Tasks[[#This Row],[_LeafCalcFinish]],Tasks[[#This Row],[_AlapShift]],WorkWeek,Holidays)))</f>
        <v/>
      </c>
      <c r="DH130" s="101" t="str">
        <f aca="false">IF(NOT(Tasks[[#This Row],[_IsLeaf]]=1),"",IF(Tasks[[#This Row],[_AlapShift]]=0,Tasks[[#This Row],[_LeafFcstStart]],WORKDAY.INTL(Tasks[[#This Row],[_LeafFcstStart]],Tasks[[#This Row],[_AlapShift]],WorkWeek,Holidays)))</f>
        <v/>
      </c>
      <c r="DI130" s="101" t="str">
        <f aca="false">IF(NOT(Tasks[[#This Row],[_IsLeaf]]=1),"",IF(Tasks[[#This Row],[_AlapShift]]=0,Tasks[[#This Row],[_LeafFcstFinish]],WORKDAY.INTL(Tasks[[#This Row],[_LeafFcstFinish]],Tasks[[#This Row],[_AlapShift]],WorkWeek,Holidays)))</f>
        <v/>
      </c>
      <c r="DJ130" s="101" t="str">
        <f aca="false">IF(Tasks[[#This Row],[Task Name]]="","",IF(Tasks[[#This Row],[_IsSummary]],MIN(INDEX(Tasks[_ShownCalcStart],Tasks[[#This Row],[_Row]]+1):INDEX(Tasks[_ShownCalcStart],Tasks[[#This Row],[_Row]]+Tasks[[#This Row],[_Descendants]])),Tasks[[#This Row],[_ShownCalcStart]]))</f>
        <v/>
      </c>
      <c r="DK130" s="101" t="str">
        <f aca="false">IF(Tasks[[#This Row],[Task Name]]="","",IF(Tasks[[#This Row],[_IsSummary]],MAX(INDEX(Tasks[_ShownCalcFinish],Tasks[[#This Row],[_Row]]+1):INDEX(Tasks[_ShownCalcFinish],Tasks[[#This Row],[_Row]]+Tasks[[#This Row],[_Descendants]])),Tasks[[#This Row],[_ShownCalcFinish]]))</f>
        <v/>
      </c>
      <c r="D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0" s="41" t="n">
        <f aca="false">IF(AND(Tasks[[#This Row],[_IsLeaf]]=1,Tasks[[#This Row],[_LeafTotalWork]]&gt;0),NETWORKDAYS.INTL(ProjectStart,Tasks[[#This Row],[_ShownFcstStart]],WorkWeek,Holidays),0)</f>
        <v>0</v>
      </c>
      <c r="DY130" s="41" t="n">
        <f aca="false">IF(AND(Tasks[[#This Row],[_IsLeaf]]=1,Tasks[[#This Row],[_LeafTotalWork]]&gt;0),MAX(Tasks[[#This Row],[_StartWorkday]],NETWORKDAYS.INTL(ProjectStart,Tasks[[#This Row],[_ShownFcstFinish]],WorkWeek,Holidays)),0)</f>
        <v>0</v>
      </c>
      <c r="DZ130" s="41" t="n">
        <f aca="false">IF(AND(Tasks[[#This Row],[_IsLeaf]]=1,Tasks[[#This Row],[_LeafTotalWork]]&gt;0),Tasks[[#This Row],[_LeafWork]]/(Tasks[[#This Row],[_FinishWorkday]]-Tasks[[#This Row],[_StartWorkday]]+1),0)</f>
        <v>0</v>
      </c>
      <c r="EA130" s="41" t="n">
        <f aca="false">Tasks[[#This Row],[_WorkPerWorkday]]*(Tasks[[#This Row],[_StartWorkday]]-1)</f>
        <v>-0</v>
      </c>
      <c r="EB130" s="41" t="n">
        <f aca="false">IF(Tasks[[#This Row],[_IsLeaf]]=1,MAX(N(Tasks[[#This Row],[Duration]]),0.1),0)</f>
        <v>0</v>
      </c>
      <c r="EC130" s="41" t="n">
        <f aca="false">Tasks[[#This Row],[_WeightDur]]*Tasks[[#This Row],[_LeafProgress]]</f>
        <v>0</v>
      </c>
      <c r="ED1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0" s="41" t="str">
        <f aca="false">IF(AND(Tasks[[#This Row],[_IsLeaf]]=1,N(Tasks[[#This Row],[Duration]])=0,Tasks[[#This Row],[_LeafProgress]]&lt;1),Tasks[[#This Row],[_ShownFcstFinish]]+Tasks[[#This Row],[_Row]]/100000,"")</f>
        <v/>
      </c>
      <c r="EF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0" s="41" t="n">
        <f aca="false">IF(NOT(Tasks[[#This Row],[_IsLeaf]]=1),0,IF(Tasks[[#This Row],[Baseline Cost]]="",Tasks[[#This Row],[_LeafTotalCost]],N(Tasks[[#This Row],[Baseline Cost]])))</f>
        <v>0</v>
      </c>
      <c r="EH130" s="41" t="n">
        <f aca="false">Tasks[[#This Row],[_LeafBudget]]*Tasks[[#This Row],[_PlannedPct]]</f>
        <v>0</v>
      </c>
      <c r="EI130" s="41" t="n">
        <f aca="false">Tasks[[#This Row],[_LeafBudget]]*Tasks[[#This Row],[_LeafProgress]]</f>
        <v>0</v>
      </c>
      <c r="EJ130" s="41" t="n">
        <f aca="false">IF(NOT(Tasks[[#This Row],[_IsLeaf]]=1),0,IF(Tasks[[#This Row],[Actual Cost]]="",Tasks[[#This Row],[_LeafTotalCost]]*Tasks[[#This Row],[_LeafProgress]],N(Tasks[[#This Row],[Actual Cost]])))</f>
        <v>0</v>
      </c>
      <c r="EK130" s="41" t="str">
        <f aca="false">IF(Tasks[[#This Row],[Task Name]]="","",LEFT(Tasks[[#This Row],[WBS]],FIND(".",Tasks[[#This Row],[WBS]]&amp;".")-1))</f>
        <v/>
      </c>
      <c r="EL130" s="41" t="str">
        <f aca="false">IF(AND(Tasks[[#This Row],[Task Name]]&lt;&gt;"",Tasks[[#This Row],[_Level]]=1),Tasks[[#This Row],[_Row]],"")</f>
        <v/>
      </c>
      <c r="EM130" s="41" t="str">
        <f aca="false">IF(AND(Tasks[[#This Row],[_IsLeaf]]=1,N(Tasks[[#This Row],[Duration]])=0),Tasks[[#This Row],[Planned Finish]]+Tasks[[#This Row],[_Row]]/100000,"")</f>
        <v/>
      </c>
      <c r="EN130" s="41" t="str">
        <f aca="false">IF(AND(Tasks[[#This Row],[_IsLeaf]]=1,Tasks[[#This Row],[_LeafProgress]]&lt;1,OR(N(Tasks[[#This Row],[Finish Var]])&gt;0,Tasks[[#This Row],[Status]]="Late Start")),MAX(0,Tasks[[#This Row],[Finish Var]])+1-Tasks[[#This Row],[_Row]]/1000000,"")</f>
        <v/>
      </c>
      <c r="EO130" s="41" t="str">
        <f aca="false">IF(AND(Tasks[[#This Row],[_IsLeaf]]=1,N(Tasks[[#This Row],[Actual Start]])=0,Tasks[[#This Row],[_ShownFcstStart]]&gt;=StatusDate,Tasks[[#This Row],[_ShownFcstStart]]&lt;=LookaheadEnd),Tasks[[#This Row],[_ShownFcstStart]]+Tasks[[#This Row],[_Row]]/100000,"")</f>
        <v/>
      </c>
      <c r="EP130" s="41" t="str">
        <f aca="false">IF(AND(Tasks[[#This Row],[_IsLeaf]]=1,Tasks[[#This Row],[_LeafProgress]]&lt;1,Tasks[[#This Row],[_ShownFcstFinish]]&gt;=StatusDate,Tasks[[#This Row],[_ShownFcstFinish]]&lt;=LookaheadEnd),Tasks[[#This Row],[_ShownFcstFinish]]+Tasks[[#This Row],[_Row]]/100000,"")</f>
        <v/>
      </c>
      <c r="EQ130" s="41" t="str">
        <f aca="false">IF(Tasks[[#This Row],[_LeafCritical]],Tasks[[#This Row],[_ShownFcstStart]]+Tasks[[#This Row],[_Row]]/100000,"")</f>
        <v/>
      </c>
      <c r="ER130" s="41" t="n">
        <f aca="false">Tasks[[#This Row],[_LeafWork]]*Tasks[[#This Row],[_LeafProgress]]</f>
        <v>0</v>
      </c>
      <c r="ES130" s="101" t="str">
        <f aca="false">IF(AND(Tasks[[#This Row],[_IsLeaf]]=1,Tasks[[#This Row],[_LeafProgress]]&gt;=1),IF(N(Tasks[[#This Row],[Actual Finish]])&gt;0,Tasks[[#This Row],[Actual Finish]],Tasks[[#This Row],[_ShownFcstFinish]]),"")</f>
        <v/>
      </c>
      <c r="ET130" s="41" t="n">
        <f aca="false">IF(Tasks[[#This Row],[_IsLeaf]]=1,N(Tasks[[#This Row],[Story Points]]),0)</f>
        <v>0</v>
      </c>
      <c r="EU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29"/>
      <c r="O131" s="29"/>
      <c r="P131" s="29"/>
      <c r="Q131" s="29"/>
      <c r="R131" s="29"/>
      <c r="S131" s="29"/>
      <c r="T131" s="30"/>
      <c r="U131" s="75"/>
      <c r="V131" s="75"/>
      <c r="W131" s="25" t="str">
        <f aca="false">IF(Tasks[[#This Row],[Task Name]]="","",IF(N(Tasks[[#This Row],[Baseline Start]])&gt;0,Tasks[[#This Row],[Baseline Start]],Tasks[[#This Row],[_CalcStart]]))</f>
        <v/>
      </c>
      <c r="X131" s="25" t="str">
        <f aca="false">IF(Tasks[[#This Row],[Task Name]]="","",IF(N(Tasks[[#This Row],[Baseline Finish]])&gt;0,Tasks[[#This Row],[Baseline Finish]],Tasks[[#This Row],[_CalcFinish]]))</f>
        <v/>
      </c>
      <c r="Y131" s="75"/>
      <c r="Z131" s="75"/>
      <c r="AA131" s="25" t="str">
        <f aca="false">IF(Tasks[[#This Row],[Task Name]]="","",IF(Tasks[[#This Row],[_IsSummary]],MIN(INDEX(Tasks[_ShownFcstStart],Tasks[[#This Row],[_Row]]+1):INDEX(Tasks[_ShownFcstStart],Tasks[[#This Row],[_Row]]+Tasks[[#This Row],[_Descendants]])),Tasks[[#This Row],[_ShownFcstStart]]))</f>
        <v/>
      </c>
      <c r="AB131" s="25" t="str">
        <f aca="false">IF(Tasks[[#This Row],[Task Name]]="","",IF(Tasks[[#This Row],[_IsSummary]],MAX(INDEX(Tasks[_ShownFcstFinish],Tasks[[#This Row],[_Row]]+1):INDEX(Tasks[_ShownFcstFinish],Tasks[[#This Row],[_Row]]+Tasks[[#This Row],[_Descendants]])),Tasks[[#This Row],[_ShownFcstFinish]]))</f>
        <v/>
      </c>
      <c r="AC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1" s="25" t="str">
        <f aca="false">IF(Tasks[[#This Row],[Task Name]]="","",IF(Tasks[[#This Row],[_IsSummary]],MIN(INDEX(Tasks[_LeafLateStart],Tasks[[#This Row],[_Row]]+1):INDEX(Tasks[_LeafLateStart],Tasks[[#This Row],[_Row]]+Tasks[[#This Row],[_Descendants]])),Tasks[[#This Row],[_LeafLateStart]]))</f>
        <v/>
      </c>
      <c r="AF131" s="25" t="str">
        <f aca="false">IF(Tasks[[#This Row],[Task Name]]="","",IF(Tasks[[#This Row],[_IsSummary]],MAX(INDEX(Tasks[_LeafLateFinish],Tasks[[#This Row],[_Row]]+1):INDEX(Tasks[_LeafLateFinish],Tasks[[#This Row],[_Row]]+Tasks[[#This Row],[_Descendants]])),Tasks[[#This Row],[_LeafLateFinish]]))</f>
        <v/>
      </c>
      <c r="AG131" s="28" t="str">
        <f aca="false">IF(Tasks[[#This Row],[Task Name]]="","",IF(Tasks[[#This Row],[_IsSummary]],MIN(INDEX(Tasks[_LeafTotalSlack],Tasks[[#This Row],[_Row]]+1):INDEX(Tasks[_LeafTotalSlack],Tasks[[#This Row],[_Row]]+Tasks[[#This Row],[_Descendants]])),Tasks[[#This Row],[_LeafTotalSlack]]))</f>
        <v/>
      </c>
      <c r="AH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1" s="28" t="str">
        <f aca="false">IF(Tasks[[#This Row],[Task Name]]="","",IF(IF(Tasks[[#This Row],[_IsSummary]],COUNTIF(INDEX(Tasks[_LeafCritical],Tasks[[#This Row],[_Row]]+1):INDEX(Tasks[_LeafCritical],Tasks[[#This Row],[_Row]]+Tasks[[#This Row],[_Descendants]]),TRUE())&gt;0,Tasks[[#This Row],[_LeafCritical]]),"Yes",""))</f>
        <v/>
      </c>
      <c r="AJ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1" s="89"/>
      <c r="AM1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1" s="28" t="str">
        <f aca="false">IF(Tasks[[#This Row],[Task Name]]="","",IF(Tasks[[#This Row],[Progress]]&gt;=1,"Complete",IF(OR(N(Tasks[[#This Row],[Actual Start]])&gt;0,Tasks[[#This Row],[Progress]]&gt;0),IF(Tasks[[#This Row],[Finish Var]]&gt;0,"Behind","In Progress"),IF(Tasks[[#This Row],[Planned Start]]&lt;StatusDate,"Late Start","Not Started"))))</f>
        <v/>
      </c>
      <c r="AO131" s="30"/>
      <c r="AP131" s="89"/>
      <c r="AQ1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1" s="96" t="str">
        <f aca="false">IF(Tasks[[#This Row],[Task Name]]="","",IF(Tasks[[#This Row],[_IsSummary]],SUM(INDEX(Tasks[_LeafTotalWork],Tasks[[#This Row],[_Row]]+1):INDEX(Tasks[_LeafTotalWork],Tasks[[#This Row],[_Row]]+Tasks[[#This Row],[_Descendants]])),Tasks[[#This Row],[_LeafTotalWork]]))</f>
        <v/>
      </c>
      <c r="AT131" s="97" t="str">
        <f aca="false">IF(Tasks[[#This Row],[Task Name]]="","",IF(Tasks[[#This Row],[_IsSummary]],SUM(INDEX(Tasks[_LeafTotalCost],Tasks[[#This Row],[_Row]]+1):INDEX(Tasks[_LeafTotalCost],Tasks[[#This Row],[_Row]]+Tasks[[#This Row],[_Descendants]])),Tasks[[#This Row],[_LeafTotalCost]]))</f>
        <v/>
      </c>
      <c r="AU131" s="98"/>
      <c r="AV131" s="29"/>
      <c r="AW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1" s="83"/>
      <c r="AY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1" s="30"/>
      <c r="BA131" s="25" t="str">
        <f aca="false">IF(Tasks[[#This Row],[Task Name]]="","",Tasks[[#This Row],[Forecast Start]])</f>
        <v/>
      </c>
      <c r="BB131" s="25" t="str">
        <f aca="false">IF(Tasks[[#This Row],[Task Name]]="","",Tasks[[#This Row],[Forecast Finish]])</f>
        <v/>
      </c>
      <c r="BC131" s="28" t="str">
        <f aca="false">IF(Tasks[[#This Row],[Task Name]]="","",IF(Tasks[[#This Row],[_IsSummary]],NETWORKDAYS.INTL(Tasks[[#This Row],[Forecast Start]],Tasks[[#This Row],[Forecast Finish]],WorkWeek,Holidays),N(Tasks[[#This Row],[Duration]])))</f>
        <v/>
      </c>
      <c r="BD131" s="96" t="str">
        <f aca="false">IF(Tasks[[#This Row],[Task Name]]="","",Tasks[[#This Row],[Work]])</f>
        <v/>
      </c>
      <c r="BE131" s="97" t="str">
        <f aca="false">IF(Tasks[[#This Row],[Task Name]]="","",Tasks[[#This Row],[Cost]])</f>
        <v/>
      </c>
      <c r="BF131" s="75"/>
      <c r="BG131" s="75"/>
      <c r="BH131" s="29"/>
      <c r="BI131" s="99"/>
      <c r="BJ131" s="98"/>
      <c r="BK131" s="28" t="str">
        <f aca="false">IF(OR(Tasks[[#This Row],[Task Name]]="",Tasks[[#This Row],[Baseline Duration]]=""),"",Tasks[[#This Row],[BL Source Duration]]-N(Tasks[[#This Row],[Baseline Duration]]))</f>
        <v/>
      </c>
      <c r="BL131" s="96" t="str">
        <f aca="false">IF(OR(Tasks[[#This Row],[Task Name]]="",Tasks[[#This Row],[Baseline Work]]=""),"",Tasks[[#This Row],[Work]]-N(Tasks[[#This Row],[Baseline Work]]))</f>
        <v/>
      </c>
      <c r="BM131" s="97" t="str">
        <f aca="false">IF(OR(Tasks[[#This Row],[Task Name]]="",Tasks[[#This Row],[Baseline Cost]]=""),"",Tasks[[#This Row],[Cost]]-N(Tasks[[#This Row],[Baseline Cost]]))</f>
        <v/>
      </c>
      <c r="BN131" s="97" t="str">
        <f aca="false">IF(Tasks[[#This Row],[Task Name]]="","",IF(Tasks[[#This Row],[_IsSummary]],SUM(INDEX(Tasks[_LeafBudget],Tasks[[#This Row],[_Row]]+1):INDEX(Tasks[_LeafBudget],Tasks[[#This Row],[_Row]]+Tasks[[#This Row],[_Descendants]])),Tasks[[#This Row],[_LeafBudget]]))</f>
        <v/>
      </c>
      <c r="BO131" s="97" t="str">
        <f aca="false">IF(Tasks[[#This Row],[Task Name]]="","",IF(Tasks[[#This Row],[_IsSummary]],SUM(INDEX(Tasks[_LeafPV],Tasks[[#This Row],[_Row]]+1):INDEX(Tasks[_LeafPV],Tasks[[#This Row],[_Row]]+Tasks[[#This Row],[_Descendants]])),Tasks[[#This Row],[_LeafPV]]))</f>
        <v/>
      </c>
      <c r="BP131" s="97" t="str">
        <f aca="false">IF(Tasks[[#This Row],[Task Name]]="","",IF(Tasks[[#This Row],[_IsSummary]],SUM(INDEX(Tasks[_LeafEV],Tasks[[#This Row],[_Row]]+1):INDEX(Tasks[_LeafEV],Tasks[[#This Row],[_Row]]+Tasks[[#This Row],[_Descendants]])),Tasks[[#This Row],[_LeafEV]]))</f>
        <v/>
      </c>
      <c r="BQ131" s="97" t="str">
        <f aca="false">IF(Tasks[[#This Row],[Task Name]]="","",IF(Tasks[[#This Row],[_IsSummary]],SUM(INDEX(Tasks[_LeafAC],Tasks[[#This Row],[_Row]]+1):INDEX(Tasks[_LeafAC],Tasks[[#This Row],[_Row]]+Tasks[[#This Row],[_Descendants]])),Tasks[[#This Row],[_LeafAC]]))</f>
        <v/>
      </c>
      <c r="BR131" s="41" t="str">
        <f aca="false">IF(Tasks[[#This Row],[Task Name]]="","",MAX(1,N(Tasks[[#This Row],[Level]])))</f>
        <v/>
      </c>
      <c r="BS131" s="41" t="n">
        <f aca="false">ROW()-ROW(Tasks[[#Headers],[ID]])</f>
        <v>126</v>
      </c>
      <c r="BT131" s="41" t="n">
        <f aca="false">IF(OR(Tasks[[#This Row],[Task Name]]="",Tasks[[#This Row],[_Level]]&lt;=1),0,IFERROR(LOOKUP(2,1/(Tasks[[#Headers],[_Level]]:Tasks[[#This Row],[_Level]]=Tasks[[#This Row],[_Level]]-1),ROW(Tasks[[#Headers],[_Level]]:Tasks[[#This Row],[_Level]])),0))</f>
        <v>0</v>
      </c>
      <c r="BU131" s="41" t="n">
        <f aca="false">IFERROR(N(INDEX(Tasks[_Level],Tasks[[#This Row],[_Row]]+1)),0)</f>
        <v>0</v>
      </c>
      <c r="BV131" s="100" t="b">
        <f aca="false">AND(Tasks[[#This Row],[Task Name]]&lt;&gt;"",Tasks[[#This Row],[_NextLevel]]&gt;Tasks[[#This Row],[_Level]])</f>
        <v>0</v>
      </c>
      <c r="BW131" s="41" t="n">
        <f aca="false">IF(Tasks[[#This Row],[_IsSummary]],COUNTIF(Tasks[WBS],Tasks[[#This Row],[WBS]]&amp;".*"),0)</f>
        <v>0</v>
      </c>
      <c r="BX131" s="41" t="n">
        <f aca="false">IF(AND(Tasks[[#This Row],[Task Name]]&lt;&gt;"",NOT(Tasks[[#This Row],[_IsSummary]])),1,0)</f>
        <v>0</v>
      </c>
      <c r="BY131" s="41" t="n">
        <f aca="false">IF(N(Tasks[[#This Row],[Pred1 UID]])=0,0,IFERROR(MATCH(Tasks[[#This Row],[Pred1 UID]],Tasks[UID],0),-1))</f>
        <v>0</v>
      </c>
      <c r="BZ131" s="41" t="n">
        <f aca="false">IF(N(Tasks[[#This Row],[Pred2 UID]])=0,0,IFERROR(MATCH(Tasks[[#This Row],[Pred2 UID]],Tasks[UID],0),-1))</f>
        <v>0</v>
      </c>
      <c r="CA131" s="41" t="n">
        <f aca="false">IF(N(Tasks[[#This Row],[Pred3 UID]])=0,0,IFERROR(MATCH(Tasks[[#This Row],[Pred3 UID]],Tasks[UID],0),-1))</f>
        <v>0</v>
      </c>
      <c r="CB131" s="41" t="n">
        <f aca="false">IF(N(Tasks[[#This Row],[Pred4 UID]])=0,0,IFERROR(MATCH(Tasks[[#This Row],[Pred4 UID]],Tasks[UID],0),-1))</f>
        <v>0</v>
      </c>
      <c r="CC1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1" s="101" t="n">
        <f aca="false">IF(OR(Tasks[[#This Row],[_ConstraintCode]]=2,Tasks[[#This Row],[_ConstraintCode]]=3,Tasks[[#This Row],[_ConstraintCode]]=4,Tasks[[#This Row],[_ConstraintCode]]=6),Tasks[[#This Row],[_ConstraintStart]],0)</f>
        <v>0</v>
      </c>
      <c r="CF131" s="101" t="n">
        <f aca="false">IF(OR(Tasks[[#This Row],[_ConstraintCode]]=2,Tasks[[#This Row],[_ConstraintCode]]=3,Tasks[[#This Row],[_ConstraintCode]]=5,Tasks[[#This Row],[_ConstraintCode]]=7),Tasks[[#This Row],[_ConstraintStart]],2958465)</f>
        <v>2958465</v>
      </c>
      <c r="CG13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1" s="101" t="str">
        <f aca="false">IF(NOT(Tasks[[#This Row],[_IsLeaf]]=1),"",IF(N(Tasks[[#This Row],[Duration]])&lt;=0,Tasks[[#This Row],[_LeafCalcStart]],WORKDAY.INTL(Tasks[[#This Row],[_LeafCalcStart]],Tasks[[#This Row],[Duration]]-1,WorkWeek,Holidays)))</f>
        <v/>
      </c>
      <c r="CI13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1" s="41" t="n">
        <f aca="false">IF(NOT(Tasks[[#This Row],[_IsLeaf]]=1),0,IF(N(Tasks[[#This Row],[Actual Finish]])&gt;0,1,MIN(1,N(Tasks[[#This Row],[% Complete]]))))</f>
        <v>0</v>
      </c>
      <c r="CL131" s="41" t="n">
        <f aca="false">IF(OR(NOT(Tasks[[#This Row],[_IsLeaf]]=1),Tasks[[#This Row],[Resource]]=""),0,N(Tasks[[#This Row],[Duration]])*HoursPerDay*IF(Tasks[[#This Row],[Units]]="",DefaultUnits,Tasks[[#This Row],[Units]]))</f>
        <v>0</v>
      </c>
      <c r="CM131" s="41" t="n">
        <f aca="false">IF(Tasks[[#This Row],[_LeafWork]]=0,0,Tasks[[#This Row],[_LeafWork]]*IFERROR(INDEX(res_Rate,MATCH(Tasks[[#This Row],[Resource]],res_Name,0)),0))</f>
        <v>0</v>
      </c>
      <c r="CN131" s="41" t="n">
        <f aca="false">Tasks[[#This Row],[_LeafWork]]+IF(Tasks[[#This Row],[_IsLeaf]]=1,SUMIFS(asg_Work,asg_TaskUID,Tasks[[#This Row],[UID]],asg_Valid,1),0)</f>
        <v>0</v>
      </c>
      <c r="CO131" s="41" t="n">
        <f aca="false">Tasks[[#This Row],[_LeafCost]]+IF(Tasks[[#This Row],[_IsLeaf]]=1,SUMIFS(asg_Cost,asg_TaskUID,Tasks[[#This Row],[UID]],asg_Valid,1),0)</f>
        <v>0</v>
      </c>
      <c r="CP131" s="41" t="n">
        <f aca="false">IF(Tasks[[#This Row],[_LeafTotalCost]]=0,Tasks[[#This Row],[_LeafAC]],Tasks[[#This Row],[_LeafAC]]*Tasks[[#This Row],[_LeafCost]]/Tasks[[#This Row],[_LeafTotalCost]])</f>
        <v>0</v>
      </c>
      <c r="CQ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1" s="41" t="n">
        <f aca="false">IF(NOT(Tasks[[#This Row],[_IsLeaf]]=1),0,MAX(_xlfn.MAXIFS(Tasks[_Row],Tasks[Pred1 UID],Tasks[[#This Row],[UID]]),_xlfn.MAXIFS(Tasks[_Row],Tasks[Pred2 UID],Tasks[[#This Row],[UID]]),_xlfn.MAXIFS(Tasks[_Row],Tasks[Pred3 UID],Tasks[[#This Row],[UID]]),_xlfn.MAXIFS(Tasks[_Row],Tasks[Pred4 UID],Tasks[[#This Row],[UID]])))</f>
        <v>0</v>
      </c>
      <c r="CZ1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1" s="101" t="str">
        <f aca="false">IF(NOT(Tasks[[#This Row],[_IsLeaf]]=1),"",IF(N(Tasks[[#This Row],[Duration]])&lt;=0,Tasks[[#This Row],[_LeafLateFinish]],WORKDAY.INTL(Tasks[[#This Row],[_LeafLateFinish]],-(Tasks[[#This Row],[Duration]]-1),WorkWeek,Holidays)))</f>
        <v/>
      </c>
      <c r="DC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1" s="100" t="b">
        <f aca="false">AND(Tasks[[#This Row],[_IsLeaf]]=1,Tasks[[#This Row],[_LeafProgress]]&lt;1,N(Tasks[[#This Row],[_LeafTotalSlack]])&lt;=CriticalSlackDays)</f>
        <v>0</v>
      </c>
      <c r="DE131" s="41" t="n">
        <f aca="false">IF(AND(Tasks[[#This Row],[_IsLeaf]]=1,Tasks[[#This Row],[_ConstraintCode]]=1,Tasks[[#This Row],[Mode]]&lt;&gt;"Manual",N(Tasks[[#This Row],[Actual Start]])=0),MAX(0,N(Tasks[[#This Row],[Free Slack]])),0)</f>
        <v>0</v>
      </c>
      <c r="DF131" s="101" t="str">
        <f aca="false">IF(NOT(Tasks[[#This Row],[_IsLeaf]]=1),"",IF(Tasks[[#This Row],[_AlapShift]]=0,Tasks[[#This Row],[_LeafCalcStart]],WORKDAY.INTL(Tasks[[#This Row],[_LeafCalcStart]],Tasks[[#This Row],[_AlapShift]],WorkWeek,Holidays)))</f>
        <v/>
      </c>
      <c r="DG131" s="101" t="str">
        <f aca="false">IF(NOT(Tasks[[#This Row],[_IsLeaf]]=1),"",IF(Tasks[[#This Row],[_AlapShift]]=0,Tasks[[#This Row],[_LeafCalcFinish]],WORKDAY.INTL(Tasks[[#This Row],[_LeafCalcFinish]],Tasks[[#This Row],[_AlapShift]],WorkWeek,Holidays)))</f>
        <v/>
      </c>
      <c r="DH131" s="101" t="str">
        <f aca="false">IF(NOT(Tasks[[#This Row],[_IsLeaf]]=1),"",IF(Tasks[[#This Row],[_AlapShift]]=0,Tasks[[#This Row],[_LeafFcstStart]],WORKDAY.INTL(Tasks[[#This Row],[_LeafFcstStart]],Tasks[[#This Row],[_AlapShift]],WorkWeek,Holidays)))</f>
        <v/>
      </c>
      <c r="DI131" s="101" t="str">
        <f aca="false">IF(NOT(Tasks[[#This Row],[_IsLeaf]]=1),"",IF(Tasks[[#This Row],[_AlapShift]]=0,Tasks[[#This Row],[_LeafFcstFinish]],WORKDAY.INTL(Tasks[[#This Row],[_LeafFcstFinish]],Tasks[[#This Row],[_AlapShift]],WorkWeek,Holidays)))</f>
        <v/>
      </c>
      <c r="DJ131" s="101" t="str">
        <f aca="false">IF(Tasks[[#This Row],[Task Name]]="","",IF(Tasks[[#This Row],[_IsSummary]],MIN(INDEX(Tasks[_ShownCalcStart],Tasks[[#This Row],[_Row]]+1):INDEX(Tasks[_ShownCalcStart],Tasks[[#This Row],[_Row]]+Tasks[[#This Row],[_Descendants]])),Tasks[[#This Row],[_ShownCalcStart]]))</f>
        <v/>
      </c>
      <c r="DK131" s="101" t="str">
        <f aca="false">IF(Tasks[[#This Row],[Task Name]]="","",IF(Tasks[[#This Row],[_IsSummary]],MAX(INDEX(Tasks[_ShownCalcFinish],Tasks[[#This Row],[_Row]]+1):INDEX(Tasks[_ShownCalcFinish],Tasks[[#This Row],[_Row]]+Tasks[[#This Row],[_Descendants]])),Tasks[[#This Row],[_ShownCalcFinish]]))</f>
        <v/>
      </c>
      <c r="D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1" s="41" t="n">
        <f aca="false">IF(AND(Tasks[[#This Row],[_IsLeaf]]=1,Tasks[[#This Row],[_LeafTotalWork]]&gt;0),NETWORKDAYS.INTL(ProjectStart,Tasks[[#This Row],[_ShownFcstStart]],WorkWeek,Holidays),0)</f>
        <v>0</v>
      </c>
      <c r="DY131" s="41" t="n">
        <f aca="false">IF(AND(Tasks[[#This Row],[_IsLeaf]]=1,Tasks[[#This Row],[_LeafTotalWork]]&gt;0),MAX(Tasks[[#This Row],[_StartWorkday]],NETWORKDAYS.INTL(ProjectStart,Tasks[[#This Row],[_ShownFcstFinish]],WorkWeek,Holidays)),0)</f>
        <v>0</v>
      </c>
      <c r="DZ131" s="41" t="n">
        <f aca="false">IF(AND(Tasks[[#This Row],[_IsLeaf]]=1,Tasks[[#This Row],[_LeafTotalWork]]&gt;0),Tasks[[#This Row],[_LeafWork]]/(Tasks[[#This Row],[_FinishWorkday]]-Tasks[[#This Row],[_StartWorkday]]+1),0)</f>
        <v>0</v>
      </c>
      <c r="EA131" s="41" t="n">
        <f aca="false">Tasks[[#This Row],[_WorkPerWorkday]]*(Tasks[[#This Row],[_StartWorkday]]-1)</f>
        <v>-0</v>
      </c>
      <c r="EB131" s="41" t="n">
        <f aca="false">IF(Tasks[[#This Row],[_IsLeaf]]=1,MAX(N(Tasks[[#This Row],[Duration]]),0.1),0)</f>
        <v>0</v>
      </c>
      <c r="EC131" s="41" t="n">
        <f aca="false">Tasks[[#This Row],[_WeightDur]]*Tasks[[#This Row],[_LeafProgress]]</f>
        <v>0</v>
      </c>
      <c r="ED1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1" s="41" t="str">
        <f aca="false">IF(AND(Tasks[[#This Row],[_IsLeaf]]=1,N(Tasks[[#This Row],[Duration]])=0,Tasks[[#This Row],[_LeafProgress]]&lt;1),Tasks[[#This Row],[_ShownFcstFinish]]+Tasks[[#This Row],[_Row]]/100000,"")</f>
        <v/>
      </c>
      <c r="EF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1" s="41" t="n">
        <f aca="false">IF(NOT(Tasks[[#This Row],[_IsLeaf]]=1),0,IF(Tasks[[#This Row],[Baseline Cost]]="",Tasks[[#This Row],[_LeafTotalCost]],N(Tasks[[#This Row],[Baseline Cost]])))</f>
        <v>0</v>
      </c>
      <c r="EH131" s="41" t="n">
        <f aca="false">Tasks[[#This Row],[_LeafBudget]]*Tasks[[#This Row],[_PlannedPct]]</f>
        <v>0</v>
      </c>
      <c r="EI131" s="41" t="n">
        <f aca="false">Tasks[[#This Row],[_LeafBudget]]*Tasks[[#This Row],[_LeafProgress]]</f>
        <v>0</v>
      </c>
      <c r="EJ131" s="41" t="n">
        <f aca="false">IF(NOT(Tasks[[#This Row],[_IsLeaf]]=1),0,IF(Tasks[[#This Row],[Actual Cost]]="",Tasks[[#This Row],[_LeafTotalCost]]*Tasks[[#This Row],[_LeafProgress]],N(Tasks[[#This Row],[Actual Cost]])))</f>
        <v>0</v>
      </c>
      <c r="EK131" s="41" t="str">
        <f aca="false">IF(Tasks[[#This Row],[Task Name]]="","",LEFT(Tasks[[#This Row],[WBS]],FIND(".",Tasks[[#This Row],[WBS]]&amp;".")-1))</f>
        <v/>
      </c>
      <c r="EL131" s="41" t="str">
        <f aca="false">IF(AND(Tasks[[#This Row],[Task Name]]&lt;&gt;"",Tasks[[#This Row],[_Level]]=1),Tasks[[#This Row],[_Row]],"")</f>
        <v/>
      </c>
      <c r="EM131" s="41" t="str">
        <f aca="false">IF(AND(Tasks[[#This Row],[_IsLeaf]]=1,N(Tasks[[#This Row],[Duration]])=0),Tasks[[#This Row],[Planned Finish]]+Tasks[[#This Row],[_Row]]/100000,"")</f>
        <v/>
      </c>
      <c r="EN131" s="41" t="str">
        <f aca="false">IF(AND(Tasks[[#This Row],[_IsLeaf]]=1,Tasks[[#This Row],[_LeafProgress]]&lt;1,OR(N(Tasks[[#This Row],[Finish Var]])&gt;0,Tasks[[#This Row],[Status]]="Late Start")),MAX(0,Tasks[[#This Row],[Finish Var]])+1-Tasks[[#This Row],[_Row]]/1000000,"")</f>
        <v/>
      </c>
      <c r="EO131" s="41" t="str">
        <f aca="false">IF(AND(Tasks[[#This Row],[_IsLeaf]]=1,N(Tasks[[#This Row],[Actual Start]])=0,Tasks[[#This Row],[_ShownFcstStart]]&gt;=StatusDate,Tasks[[#This Row],[_ShownFcstStart]]&lt;=LookaheadEnd),Tasks[[#This Row],[_ShownFcstStart]]+Tasks[[#This Row],[_Row]]/100000,"")</f>
        <v/>
      </c>
      <c r="EP131" s="41" t="str">
        <f aca="false">IF(AND(Tasks[[#This Row],[_IsLeaf]]=1,Tasks[[#This Row],[_LeafProgress]]&lt;1,Tasks[[#This Row],[_ShownFcstFinish]]&gt;=StatusDate,Tasks[[#This Row],[_ShownFcstFinish]]&lt;=LookaheadEnd),Tasks[[#This Row],[_ShownFcstFinish]]+Tasks[[#This Row],[_Row]]/100000,"")</f>
        <v/>
      </c>
      <c r="EQ131" s="41" t="str">
        <f aca="false">IF(Tasks[[#This Row],[_LeafCritical]],Tasks[[#This Row],[_ShownFcstStart]]+Tasks[[#This Row],[_Row]]/100000,"")</f>
        <v/>
      </c>
      <c r="ER131" s="41" t="n">
        <f aca="false">Tasks[[#This Row],[_LeafWork]]*Tasks[[#This Row],[_LeafProgress]]</f>
        <v>0</v>
      </c>
      <c r="ES131" s="101" t="str">
        <f aca="false">IF(AND(Tasks[[#This Row],[_IsLeaf]]=1,Tasks[[#This Row],[_LeafProgress]]&gt;=1),IF(N(Tasks[[#This Row],[Actual Finish]])&gt;0,Tasks[[#This Row],[Actual Finish]],Tasks[[#This Row],[_ShownFcstFinish]]),"")</f>
        <v/>
      </c>
      <c r="ET131" s="41" t="n">
        <f aca="false">IF(Tasks[[#This Row],[_IsLeaf]]=1,N(Tasks[[#This Row],[Story Points]]),0)</f>
        <v>0</v>
      </c>
      <c r="EU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29"/>
      <c r="O132" s="29"/>
      <c r="P132" s="29"/>
      <c r="Q132" s="29"/>
      <c r="R132" s="29"/>
      <c r="S132" s="29"/>
      <c r="T132" s="30"/>
      <c r="U132" s="75"/>
      <c r="V132" s="75"/>
      <c r="W132" s="25" t="str">
        <f aca="false">IF(Tasks[[#This Row],[Task Name]]="","",IF(N(Tasks[[#This Row],[Baseline Start]])&gt;0,Tasks[[#This Row],[Baseline Start]],Tasks[[#This Row],[_CalcStart]]))</f>
        <v/>
      </c>
      <c r="X132" s="25" t="str">
        <f aca="false">IF(Tasks[[#This Row],[Task Name]]="","",IF(N(Tasks[[#This Row],[Baseline Finish]])&gt;0,Tasks[[#This Row],[Baseline Finish]],Tasks[[#This Row],[_CalcFinish]]))</f>
        <v/>
      </c>
      <c r="Y132" s="75"/>
      <c r="Z132" s="75"/>
      <c r="AA132" s="25" t="str">
        <f aca="false">IF(Tasks[[#This Row],[Task Name]]="","",IF(Tasks[[#This Row],[_IsSummary]],MIN(INDEX(Tasks[_ShownFcstStart],Tasks[[#This Row],[_Row]]+1):INDEX(Tasks[_ShownFcstStart],Tasks[[#This Row],[_Row]]+Tasks[[#This Row],[_Descendants]])),Tasks[[#This Row],[_ShownFcstStart]]))</f>
        <v/>
      </c>
      <c r="AB132" s="25" t="str">
        <f aca="false">IF(Tasks[[#This Row],[Task Name]]="","",IF(Tasks[[#This Row],[_IsSummary]],MAX(INDEX(Tasks[_ShownFcstFinish],Tasks[[#This Row],[_Row]]+1):INDEX(Tasks[_ShownFcstFinish],Tasks[[#This Row],[_Row]]+Tasks[[#This Row],[_Descendants]])),Tasks[[#This Row],[_ShownFcstFinish]]))</f>
        <v/>
      </c>
      <c r="AC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2" s="25" t="str">
        <f aca="false">IF(Tasks[[#This Row],[Task Name]]="","",IF(Tasks[[#This Row],[_IsSummary]],MIN(INDEX(Tasks[_LeafLateStart],Tasks[[#This Row],[_Row]]+1):INDEX(Tasks[_LeafLateStart],Tasks[[#This Row],[_Row]]+Tasks[[#This Row],[_Descendants]])),Tasks[[#This Row],[_LeafLateStart]]))</f>
        <v/>
      </c>
      <c r="AF132" s="25" t="str">
        <f aca="false">IF(Tasks[[#This Row],[Task Name]]="","",IF(Tasks[[#This Row],[_IsSummary]],MAX(INDEX(Tasks[_LeafLateFinish],Tasks[[#This Row],[_Row]]+1):INDEX(Tasks[_LeafLateFinish],Tasks[[#This Row],[_Row]]+Tasks[[#This Row],[_Descendants]])),Tasks[[#This Row],[_LeafLateFinish]]))</f>
        <v/>
      </c>
      <c r="AG132" s="28" t="str">
        <f aca="false">IF(Tasks[[#This Row],[Task Name]]="","",IF(Tasks[[#This Row],[_IsSummary]],MIN(INDEX(Tasks[_LeafTotalSlack],Tasks[[#This Row],[_Row]]+1):INDEX(Tasks[_LeafTotalSlack],Tasks[[#This Row],[_Row]]+Tasks[[#This Row],[_Descendants]])),Tasks[[#This Row],[_LeafTotalSlack]]))</f>
        <v/>
      </c>
      <c r="AH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2" s="28" t="str">
        <f aca="false">IF(Tasks[[#This Row],[Task Name]]="","",IF(IF(Tasks[[#This Row],[_IsSummary]],COUNTIF(INDEX(Tasks[_LeafCritical],Tasks[[#This Row],[_Row]]+1):INDEX(Tasks[_LeafCritical],Tasks[[#This Row],[_Row]]+Tasks[[#This Row],[_Descendants]]),TRUE())&gt;0,Tasks[[#This Row],[_LeafCritical]]),"Yes",""))</f>
        <v/>
      </c>
      <c r="AJ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2" s="89"/>
      <c r="AM1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2" s="28" t="str">
        <f aca="false">IF(Tasks[[#This Row],[Task Name]]="","",IF(Tasks[[#This Row],[Progress]]&gt;=1,"Complete",IF(OR(N(Tasks[[#This Row],[Actual Start]])&gt;0,Tasks[[#This Row],[Progress]]&gt;0),IF(Tasks[[#This Row],[Finish Var]]&gt;0,"Behind","In Progress"),IF(Tasks[[#This Row],[Planned Start]]&lt;StatusDate,"Late Start","Not Started"))))</f>
        <v/>
      </c>
      <c r="AO132" s="30"/>
      <c r="AP132" s="89"/>
      <c r="AQ1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2" s="96" t="str">
        <f aca="false">IF(Tasks[[#This Row],[Task Name]]="","",IF(Tasks[[#This Row],[_IsSummary]],SUM(INDEX(Tasks[_LeafTotalWork],Tasks[[#This Row],[_Row]]+1):INDEX(Tasks[_LeafTotalWork],Tasks[[#This Row],[_Row]]+Tasks[[#This Row],[_Descendants]])),Tasks[[#This Row],[_LeafTotalWork]]))</f>
        <v/>
      </c>
      <c r="AT132" s="97" t="str">
        <f aca="false">IF(Tasks[[#This Row],[Task Name]]="","",IF(Tasks[[#This Row],[_IsSummary]],SUM(INDEX(Tasks[_LeafTotalCost],Tasks[[#This Row],[_Row]]+1):INDEX(Tasks[_LeafTotalCost],Tasks[[#This Row],[_Row]]+Tasks[[#This Row],[_Descendants]])),Tasks[[#This Row],[_LeafTotalCost]]))</f>
        <v/>
      </c>
      <c r="AU132" s="98"/>
      <c r="AV132" s="29"/>
      <c r="AW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2" s="83"/>
      <c r="AY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2" s="30"/>
      <c r="BA132" s="25" t="str">
        <f aca="false">IF(Tasks[[#This Row],[Task Name]]="","",Tasks[[#This Row],[Forecast Start]])</f>
        <v/>
      </c>
      <c r="BB132" s="25" t="str">
        <f aca="false">IF(Tasks[[#This Row],[Task Name]]="","",Tasks[[#This Row],[Forecast Finish]])</f>
        <v/>
      </c>
      <c r="BC132" s="28" t="str">
        <f aca="false">IF(Tasks[[#This Row],[Task Name]]="","",IF(Tasks[[#This Row],[_IsSummary]],NETWORKDAYS.INTL(Tasks[[#This Row],[Forecast Start]],Tasks[[#This Row],[Forecast Finish]],WorkWeek,Holidays),N(Tasks[[#This Row],[Duration]])))</f>
        <v/>
      </c>
      <c r="BD132" s="96" t="str">
        <f aca="false">IF(Tasks[[#This Row],[Task Name]]="","",Tasks[[#This Row],[Work]])</f>
        <v/>
      </c>
      <c r="BE132" s="97" t="str">
        <f aca="false">IF(Tasks[[#This Row],[Task Name]]="","",Tasks[[#This Row],[Cost]])</f>
        <v/>
      </c>
      <c r="BF132" s="75"/>
      <c r="BG132" s="75"/>
      <c r="BH132" s="29"/>
      <c r="BI132" s="99"/>
      <c r="BJ132" s="98"/>
      <c r="BK132" s="28" t="str">
        <f aca="false">IF(OR(Tasks[[#This Row],[Task Name]]="",Tasks[[#This Row],[Baseline Duration]]=""),"",Tasks[[#This Row],[BL Source Duration]]-N(Tasks[[#This Row],[Baseline Duration]]))</f>
        <v/>
      </c>
      <c r="BL132" s="96" t="str">
        <f aca="false">IF(OR(Tasks[[#This Row],[Task Name]]="",Tasks[[#This Row],[Baseline Work]]=""),"",Tasks[[#This Row],[Work]]-N(Tasks[[#This Row],[Baseline Work]]))</f>
        <v/>
      </c>
      <c r="BM132" s="97" t="str">
        <f aca="false">IF(OR(Tasks[[#This Row],[Task Name]]="",Tasks[[#This Row],[Baseline Cost]]=""),"",Tasks[[#This Row],[Cost]]-N(Tasks[[#This Row],[Baseline Cost]]))</f>
        <v/>
      </c>
      <c r="BN132" s="97" t="str">
        <f aca="false">IF(Tasks[[#This Row],[Task Name]]="","",IF(Tasks[[#This Row],[_IsSummary]],SUM(INDEX(Tasks[_LeafBudget],Tasks[[#This Row],[_Row]]+1):INDEX(Tasks[_LeafBudget],Tasks[[#This Row],[_Row]]+Tasks[[#This Row],[_Descendants]])),Tasks[[#This Row],[_LeafBudget]]))</f>
        <v/>
      </c>
      <c r="BO132" s="97" t="str">
        <f aca="false">IF(Tasks[[#This Row],[Task Name]]="","",IF(Tasks[[#This Row],[_IsSummary]],SUM(INDEX(Tasks[_LeafPV],Tasks[[#This Row],[_Row]]+1):INDEX(Tasks[_LeafPV],Tasks[[#This Row],[_Row]]+Tasks[[#This Row],[_Descendants]])),Tasks[[#This Row],[_LeafPV]]))</f>
        <v/>
      </c>
      <c r="BP132" s="97" t="str">
        <f aca="false">IF(Tasks[[#This Row],[Task Name]]="","",IF(Tasks[[#This Row],[_IsSummary]],SUM(INDEX(Tasks[_LeafEV],Tasks[[#This Row],[_Row]]+1):INDEX(Tasks[_LeafEV],Tasks[[#This Row],[_Row]]+Tasks[[#This Row],[_Descendants]])),Tasks[[#This Row],[_LeafEV]]))</f>
        <v/>
      </c>
      <c r="BQ132" s="97" t="str">
        <f aca="false">IF(Tasks[[#This Row],[Task Name]]="","",IF(Tasks[[#This Row],[_IsSummary]],SUM(INDEX(Tasks[_LeafAC],Tasks[[#This Row],[_Row]]+1):INDEX(Tasks[_LeafAC],Tasks[[#This Row],[_Row]]+Tasks[[#This Row],[_Descendants]])),Tasks[[#This Row],[_LeafAC]]))</f>
        <v/>
      </c>
      <c r="BR132" s="41" t="str">
        <f aca="false">IF(Tasks[[#This Row],[Task Name]]="","",MAX(1,N(Tasks[[#This Row],[Level]])))</f>
        <v/>
      </c>
      <c r="BS132" s="41" t="n">
        <f aca="false">ROW()-ROW(Tasks[[#Headers],[ID]])</f>
        <v>127</v>
      </c>
      <c r="BT132" s="41" t="n">
        <f aca="false">IF(OR(Tasks[[#This Row],[Task Name]]="",Tasks[[#This Row],[_Level]]&lt;=1),0,IFERROR(LOOKUP(2,1/(Tasks[[#Headers],[_Level]]:Tasks[[#This Row],[_Level]]=Tasks[[#This Row],[_Level]]-1),ROW(Tasks[[#Headers],[_Level]]:Tasks[[#This Row],[_Level]])),0))</f>
        <v>0</v>
      </c>
      <c r="BU132" s="41" t="n">
        <f aca="false">IFERROR(N(INDEX(Tasks[_Level],Tasks[[#This Row],[_Row]]+1)),0)</f>
        <v>0</v>
      </c>
      <c r="BV132" s="100" t="b">
        <f aca="false">AND(Tasks[[#This Row],[Task Name]]&lt;&gt;"",Tasks[[#This Row],[_NextLevel]]&gt;Tasks[[#This Row],[_Level]])</f>
        <v>0</v>
      </c>
      <c r="BW132" s="41" t="n">
        <f aca="false">IF(Tasks[[#This Row],[_IsSummary]],COUNTIF(Tasks[WBS],Tasks[[#This Row],[WBS]]&amp;".*"),0)</f>
        <v>0</v>
      </c>
      <c r="BX132" s="41" t="n">
        <f aca="false">IF(AND(Tasks[[#This Row],[Task Name]]&lt;&gt;"",NOT(Tasks[[#This Row],[_IsSummary]])),1,0)</f>
        <v>0</v>
      </c>
      <c r="BY132" s="41" t="n">
        <f aca="false">IF(N(Tasks[[#This Row],[Pred1 UID]])=0,0,IFERROR(MATCH(Tasks[[#This Row],[Pred1 UID]],Tasks[UID],0),-1))</f>
        <v>0</v>
      </c>
      <c r="BZ132" s="41" t="n">
        <f aca="false">IF(N(Tasks[[#This Row],[Pred2 UID]])=0,0,IFERROR(MATCH(Tasks[[#This Row],[Pred2 UID]],Tasks[UID],0),-1))</f>
        <v>0</v>
      </c>
      <c r="CA132" s="41" t="n">
        <f aca="false">IF(N(Tasks[[#This Row],[Pred3 UID]])=0,0,IFERROR(MATCH(Tasks[[#This Row],[Pred3 UID]],Tasks[UID],0),-1))</f>
        <v>0</v>
      </c>
      <c r="CB132" s="41" t="n">
        <f aca="false">IF(N(Tasks[[#This Row],[Pred4 UID]])=0,0,IFERROR(MATCH(Tasks[[#This Row],[Pred4 UID]],Tasks[UID],0),-1))</f>
        <v>0</v>
      </c>
      <c r="CC1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2" s="101" t="n">
        <f aca="false">IF(OR(Tasks[[#This Row],[_ConstraintCode]]=2,Tasks[[#This Row],[_ConstraintCode]]=3,Tasks[[#This Row],[_ConstraintCode]]=4,Tasks[[#This Row],[_ConstraintCode]]=6),Tasks[[#This Row],[_ConstraintStart]],0)</f>
        <v>0</v>
      </c>
      <c r="CF132" s="101" t="n">
        <f aca="false">IF(OR(Tasks[[#This Row],[_ConstraintCode]]=2,Tasks[[#This Row],[_ConstraintCode]]=3,Tasks[[#This Row],[_ConstraintCode]]=5,Tasks[[#This Row],[_ConstraintCode]]=7),Tasks[[#This Row],[_ConstraintStart]],2958465)</f>
        <v>2958465</v>
      </c>
      <c r="CG13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2" s="101" t="str">
        <f aca="false">IF(NOT(Tasks[[#This Row],[_IsLeaf]]=1),"",IF(N(Tasks[[#This Row],[Duration]])&lt;=0,Tasks[[#This Row],[_LeafCalcStart]],WORKDAY.INTL(Tasks[[#This Row],[_LeafCalcStart]],Tasks[[#This Row],[Duration]]-1,WorkWeek,Holidays)))</f>
        <v/>
      </c>
      <c r="CI13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2" s="41" t="n">
        <f aca="false">IF(NOT(Tasks[[#This Row],[_IsLeaf]]=1),0,IF(N(Tasks[[#This Row],[Actual Finish]])&gt;0,1,MIN(1,N(Tasks[[#This Row],[% Complete]]))))</f>
        <v>0</v>
      </c>
      <c r="CL132" s="41" t="n">
        <f aca="false">IF(OR(NOT(Tasks[[#This Row],[_IsLeaf]]=1),Tasks[[#This Row],[Resource]]=""),0,N(Tasks[[#This Row],[Duration]])*HoursPerDay*IF(Tasks[[#This Row],[Units]]="",DefaultUnits,Tasks[[#This Row],[Units]]))</f>
        <v>0</v>
      </c>
      <c r="CM132" s="41" t="n">
        <f aca="false">IF(Tasks[[#This Row],[_LeafWork]]=0,0,Tasks[[#This Row],[_LeafWork]]*IFERROR(INDEX(res_Rate,MATCH(Tasks[[#This Row],[Resource]],res_Name,0)),0))</f>
        <v>0</v>
      </c>
      <c r="CN132" s="41" t="n">
        <f aca="false">Tasks[[#This Row],[_LeafWork]]+IF(Tasks[[#This Row],[_IsLeaf]]=1,SUMIFS(asg_Work,asg_TaskUID,Tasks[[#This Row],[UID]],asg_Valid,1),0)</f>
        <v>0</v>
      </c>
      <c r="CO132" s="41" t="n">
        <f aca="false">Tasks[[#This Row],[_LeafCost]]+IF(Tasks[[#This Row],[_IsLeaf]]=1,SUMIFS(asg_Cost,asg_TaskUID,Tasks[[#This Row],[UID]],asg_Valid,1),0)</f>
        <v>0</v>
      </c>
      <c r="CP132" s="41" t="n">
        <f aca="false">IF(Tasks[[#This Row],[_LeafTotalCost]]=0,Tasks[[#This Row],[_LeafAC]],Tasks[[#This Row],[_LeafAC]]*Tasks[[#This Row],[_LeafCost]]/Tasks[[#This Row],[_LeafTotalCost]])</f>
        <v>0</v>
      </c>
      <c r="CQ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2" s="41" t="n">
        <f aca="false">IF(NOT(Tasks[[#This Row],[_IsLeaf]]=1),0,MAX(_xlfn.MAXIFS(Tasks[_Row],Tasks[Pred1 UID],Tasks[[#This Row],[UID]]),_xlfn.MAXIFS(Tasks[_Row],Tasks[Pred2 UID],Tasks[[#This Row],[UID]]),_xlfn.MAXIFS(Tasks[_Row],Tasks[Pred3 UID],Tasks[[#This Row],[UID]]),_xlfn.MAXIFS(Tasks[_Row],Tasks[Pred4 UID],Tasks[[#This Row],[UID]])))</f>
        <v>0</v>
      </c>
      <c r="CZ1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2" s="101" t="str">
        <f aca="false">IF(NOT(Tasks[[#This Row],[_IsLeaf]]=1),"",IF(N(Tasks[[#This Row],[Duration]])&lt;=0,Tasks[[#This Row],[_LeafLateFinish]],WORKDAY.INTL(Tasks[[#This Row],[_LeafLateFinish]],-(Tasks[[#This Row],[Duration]]-1),WorkWeek,Holidays)))</f>
        <v/>
      </c>
      <c r="DC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2" s="100" t="b">
        <f aca="false">AND(Tasks[[#This Row],[_IsLeaf]]=1,Tasks[[#This Row],[_LeafProgress]]&lt;1,N(Tasks[[#This Row],[_LeafTotalSlack]])&lt;=CriticalSlackDays)</f>
        <v>0</v>
      </c>
      <c r="DE132" s="41" t="n">
        <f aca="false">IF(AND(Tasks[[#This Row],[_IsLeaf]]=1,Tasks[[#This Row],[_ConstraintCode]]=1,Tasks[[#This Row],[Mode]]&lt;&gt;"Manual",N(Tasks[[#This Row],[Actual Start]])=0),MAX(0,N(Tasks[[#This Row],[Free Slack]])),0)</f>
        <v>0</v>
      </c>
      <c r="DF132" s="101" t="str">
        <f aca="false">IF(NOT(Tasks[[#This Row],[_IsLeaf]]=1),"",IF(Tasks[[#This Row],[_AlapShift]]=0,Tasks[[#This Row],[_LeafCalcStart]],WORKDAY.INTL(Tasks[[#This Row],[_LeafCalcStart]],Tasks[[#This Row],[_AlapShift]],WorkWeek,Holidays)))</f>
        <v/>
      </c>
      <c r="DG132" s="101" t="str">
        <f aca="false">IF(NOT(Tasks[[#This Row],[_IsLeaf]]=1),"",IF(Tasks[[#This Row],[_AlapShift]]=0,Tasks[[#This Row],[_LeafCalcFinish]],WORKDAY.INTL(Tasks[[#This Row],[_LeafCalcFinish]],Tasks[[#This Row],[_AlapShift]],WorkWeek,Holidays)))</f>
        <v/>
      </c>
      <c r="DH132" s="101" t="str">
        <f aca="false">IF(NOT(Tasks[[#This Row],[_IsLeaf]]=1),"",IF(Tasks[[#This Row],[_AlapShift]]=0,Tasks[[#This Row],[_LeafFcstStart]],WORKDAY.INTL(Tasks[[#This Row],[_LeafFcstStart]],Tasks[[#This Row],[_AlapShift]],WorkWeek,Holidays)))</f>
        <v/>
      </c>
      <c r="DI132" s="101" t="str">
        <f aca="false">IF(NOT(Tasks[[#This Row],[_IsLeaf]]=1),"",IF(Tasks[[#This Row],[_AlapShift]]=0,Tasks[[#This Row],[_LeafFcstFinish]],WORKDAY.INTL(Tasks[[#This Row],[_LeafFcstFinish]],Tasks[[#This Row],[_AlapShift]],WorkWeek,Holidays)))</f>
        <v/>
      </c>
      <c r="DJ132" s="101" t="str">
        <f aca="false">IF(Tasks[[#This Row],[Task Name]]="","",IF(Tasks[[#This Row],[_IsSummary]],MIN(INDEX(Tasks[_ShownCalcStart],Tasks[[#This Row],[_Row]]+1):INDEX(Tasks[_ShownCalcStart],Tasks[[#This Row],[_Row]]+Tasks[[#This Row],[_Descendants]])),Tasks[[#This Row],[_ShownCalcStart]]))</f>
        <v/>
      </c>
      <c r="DK132" s="101" t="str">
        <f aca="false">IF(Tasks[[#This Row],[Task Name]]="","",IF(Tasks[[#This Row],[_IsSummary]],MAX(INDEX(Tasks[_ShownCalcFinish],Tasks[[#This Row],[_Row]]+1):INDEX(Tasks[_ShownCalcFinish],Tasks[[#This Row],[_Row]]+Tasks[[#This Row],[_Descendants]])),Tasks[[#This Row],[_ShownCalcFinish]]))</f>
        <v/>
      </c>
      <c r="D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2" s="41" t="n">
        <f aca="false">IF(AND(Tasks[[#This Row],[_IsLeaf]]=1,Tasks[[#This Row],[_LeafTotalWork]]&gt;0),NETWORKDAYS.INTL(ProjectStart,Tasks[[#This Row],[_ShownFcstStart]],WorkWeek,Holidays),0)</f>
        <v>0</v>
      </c>
      <c r="DY132" s="41" t="n">
        <f aca="false">IF(AND(Tasks[[#This Row],[_IsLeaf]]=1,Tasks[[#This Row],[_LeafTotalWork]]&gt;0),MAX(Tasks[[#This Row],[_StartWorkday]],NETWORKDAYS.INTL(ProjectStart,Tasks[[#This Row],[_ShownFcstFinish]],WorkWeek,Holidays)),0)</f>
        <v>0</v>
      </c>
      <c r="DZ132" s="41" t="n">
        <f aca="false">IF(AND(Tasks[[#This Row],[_IsLeaf]]=1,Tasks[[#This Row],[_LeafTotalWork]]&gt;0),Tasks[[#This Row],[_LeafWork]]/(Tasks[[#This Row],[_FinishWorkday]]-Tasks[[#This Row],[_StartWorkday]]+1),0)</f>
        <v>0</v>
      </c>
      <c r="EA132" s="41" t="n">
        <f aca="false">Tasks[[#This Row],[_WorkPerWorkday]]*(Tasks[[#This Row],[_StartWorkday]]-1)</f>
        <v>-0</v>
      </c>
      <c r="EB132" s="41" t="n">
        <f aca="false">IF(Tasks[[#This Row],[_IsLeaf]]=1,MAX(N(Tasks[[#This Row],[Duration]]),0.1),0)</f>
        <v>0</v>
      </c>
      <c r="EC132" s="41" t="n">
        <f aca="false">Tasks[[#This Row],[_WeightDur]]*Tasks[[#This Row],[_LeafProgress]]</f>
        <v>0</v>
      </c>
      <c r="ED1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2" s="41" t="str">
        <f aca="false">IF(AND(Tasks[[#This Row],[_IsLeaf]]=1,N(Tasks[[#This Row],[Duration]])=0,Tasks[[#This Row],[_LeafProgress]]&lt;1),Tasks[[#This Row],[_ShownFcstFinish]]+Tasks[[#This Row],[_Row]]/100000,"")</f>
        <v/>
      </c>
      <c r="EF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2" s="41" t="n">
        <f aca="false">IF(NOT(Tasks[[#This Row],[_IsLeaf]]=1),0,IF(Tasks[[#This Row],[Baseline Cost]]="",Tasks[[#This Row],[_LeafTotalCost]],N(Tasks[[#This Row],[Baseline Cost]])))</f>
        <v>0</v>
      </c>
      <c r="EH132" s="41" t="n">
        <f aca="false">Tasks[[#This Row],[_LeafBudget]]*Tasks[[#This Row],[_PlannedPct]]</f>
        <v>0</v>
      </c>
      <c r="EI132" s="41" t="n">
        <f aca="false">Tasks[[#This Row],[_LeafBudget]]*Tasks[[#This Row],[_LeafProgress]]</f>
        <v>0</v>
      </c>
      <c r="EJ132" s="41" t="n">
        <f aca="false">IF(NOT(Tasks[[#This Row],[_IsLeaf]]=1),0,IF(Tasks[[#This Row],[Actual Cost]]="",Tasks[[#This Row],[_LeafTotalCost]]*Tasks[[#This Row],[_LeafProgress]],N(Tasks[[#This Row],[Actual Cost]])))</f>
        <v>0</v>
      </c>
      <c r="EK132" s="41" t="str">
        <f aca="false">IF(Tasks[[#This Row],[Task Name]]="","",LEFT(Tasks[[#This Row],[WBS]],FIND(".",Tasks[[#This Row],[WBS]]&amp;".")-1))</f>
        <v/>
      </c>
      <c r="EL132" s="41" t="str">
        <f aca="false">IF(AND(Tasks[[#This Row],[Task Name]]&lt;&gt;"",Tasks[[#This Row],[_Level]]=1),Tasks[[#This Row],[_Row]],"")</f>
        <v/>
      </c>
      <c r="EM132" s="41" t="str">
        <f aca="false">IF(AND(Tasks[[#This Row],[_IsLeaf]]=1,N(Tasks[[#This Row],[Duration]])=0),Tasks[[#This Row],[Planned Finish]]+Tasks[[#This Row],[_Row]]/100000,"")</f>
        <v/>
      </c>
      <c r="EN132" s="41" t="str">
        <f aca="false">IF(AND(Tasks[[#This Row],[_IsLeaf]]=1,Tasks[[#This Row],[_LeafProgress]]&lt;1,OR(N(Tasks[[#This Row],[Finish Var]])&gt;0,Tasks[[#This Row],[Status]]="Late Start")),MAX(0,Tasks[[#This Row],[Finish Var]])+1-Tasks[[#This Row],[_Row]]/1000000,"")</f>
        <v/>
      </c>
      <c r="EO132" s="41" t="str">
        <f aca="false">IF(AND(Tasks[[#This Row],[_IsLeaf]]=1,N(Tasks[[#This Row],[Actual Start]])=0,Tasks[[#This Row],[_ShownFcstStart]]&gt;=StatusDate,Tasks[[#This Row],[_ShownFcstStart]]&lt;=LookaheadEnd),Tasks[[#This Row],[_ShownFcstStart]]+Tasks[[#This Row],[_Row]]/100000,"")</f>
        <v/>
      </c>
      <c r="EP132" s="41" t="str">
        <f aca="false">IF(AND(Tasks[[#This Row],[_IsLeaf]]=1,Tasks[[#This Row],[_LeafProgress]]&lt;1,Tasks[[#This Row],[_ShownFcstFinish]]&gt;=StatusDate,Tasks[[#This Row],[_ShownFcstFinish]]&lt;=LookaheadEnd),Tasks[[#This Row],[_ShownFcstFinish]]+Tasks[[#This Row],[_Row]]/100000,"")</f>
        <v/>
      </c>
      <c r="EQ132" s="41" t="str">
        <f aca="false">IF(Tasks[[#This Row],[_LeafCritical]],Tasks[[#This Row],[_ShownFcstStart]]+Tasks[[#This Row],[_Row]]/100000,"")</f>
        <v/>
      </c>
      <c r="ER132" s="41" t="n">
        <f aca="false">Tasks[[#This Row],[_LeafWork]]*Tasks[[#This Row],[_LeafProgress]]</f>
        <v>0</v>
      </c>
      <c r="ES132" s="101" t="str">
        <f aca="false">IF(AND(Tasks[[#This Row],[_IsLeaf]]=1,Tasks[[#This Row],[_LeafProgress]]&gt;=1),IF(N(Tasks[[#This Row],[Actual Finish]])&gt;0,Tasks[[#This Row],[Actual Finish]],Tasks[[#This Row],[_ShownFcstFinish]]),"")</f>
        <v/>
      </c>
      <c r="ET132" s="41" t="n">
        <f aca="false">IF(Tasks[[#This Row],[_IsLeaf]]=1,N(Tasks[[#This Row],[Story Points]]),0)</f>
        <v>0</v>
      </c>
      <c r="EU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29"/>
      <c r="O133" s="29"/>
      <c r="P133" s="29"/>
      <c r="Q133" s="29"/>
      <c r="R133" s="29"/>
      <c r="S133" s="29"/>
      <c r="T133" s="30"/>
      <c r="U133" s="75"/>
      <c r="V133" s="75"/>
      <c r="W133" s="25" t="str">
        <f aca="false">IF(Tasks[[#This Row],[Task Name]]="","",IF(N(Tasks[[#This Row],[Baseline Start]])&gt;0,Tasks[[#This Row],[Baseline Start]],Tasks[[#This Row],[_CalcStart]]))</f>
        <v/>
      </c>
      <c r="X133" s="25" t="str">
        <f aca="false">IF(Tasks[[#This Row],[Task Name]]="","",IF(N(Tasks[[#This Row],[Baseline Finish]])&gt;0,Tasks[[#This Row],[Baseline Finish]],Tasks[[#This Row],[_CalcFinish]]))</f>
        <v/>
      </c>
      <c r="Y133" s="75"/>
      <c r="Z133" s="75"/>
      <c r="AA133" s="25" t="str">
        <f aca="false">IF(Tasks[[#This Row],[Task Name]]="","",IF(Tasks[[#This Row],[_IsSummary]],MIN(INDEX(Tasks[_ShownFcstStart],Tasks[[#This Row],[_Row]]+1):INDEX(Tasks[_ShownFcstStart],Tasks[[#This Row],[_Row]]+Tasks[[#This Row],[_Descendants]])),Tasks[[#This Row],[_ShownFcstStart]]))</f>
        <v/>
      </c>
      <c r="AB133" s="25" t="str">
        <f aca="false">IF(Tasks[[#This Row],[Task Name]]="","",IF(Tasks[[#This Row],[_IsSummary]],MAX(INDEX(Tasks[_ShownFcstFinish],Tasks[[#This Row],[_Row]]+1):INDEX(Tasks[_ShownFcstFinish],Tasks[[#This Row],[_Row]]+Tasks[[#This Row],[_Descendants]])),Tasks[[#This Row],[_ShownFcstFinish]]))</f>
        <v/>
      </c>
      <c r="AC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3" s="25" t="str">
        <f aca="false">IF(Tasks[[#This Row],[Task Name]]="","",IF(Tasks[[#This Row],[_IsSummary]],MIN(INDEX(Tasks[_LeafLateStart],Tasks[[#This Row],[_Row]]+1):INDEX(Tasks[_LeafLateStart],Tasks[[#This Row],[_Row]]+Tasks[[#This Row],[_Descendants]])),Tasks[[#This Row],[_LeafLateStart]]))</f>
        <v/>
      </c>
      <c r="AF133" s="25" t="str">
        <f aca="false">IF(Tasks[[#This Row],[Task Name]]="","",IF(Tasks[[#This Row],[_IsSummary]],MAX(INDEX(Tasks[_LeafLateFinish],Tasks[[#This Row],[_Row]]+1):INDEX(Tasks[_LeafLateFinish],Tasks[[#This Row],[_Row]]+Tasks[[#This Row],[_Descendants]])),Tasks[[#This Row],[_LeafLateFinish]]))</f>
        <v/>
      </c>
      <c r="AG133" s="28" t="str">
        <f aca="false">IF(Tasks[[#This Row],[Task Name]]="","",IF(Tasks[[#This Row],[_IsSummary]],MIN(INDEX(Tasks[_LeafTotalSlack],Tasks[[#This Row],[_Row]]+1):INDEX(Tasks[_LeafTotalSlack],Tasks[[#This Row],[_Row]]+Tasks[[#This Row],[_Descendants]])),Tasks[[#This Row],[_LeafTotalSlack]]))</f>
        <v/>
      </c>
      <c r="AH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3" s="28" t="str">
        <f aca="false">IF(Tasks[[#This Row],[Task Name]]="","",IF(IF(Tasks[[#This Row],[_IsSummary]],COUNTIF(INDEX(Tasks[_LeafCritical],Tasks[[#This Row],[_Row]]+1):INDEX(Tasks[_LeafCritical],Tasks[[#This Row],[_Row]]+Tasks[[#This Row],[_Descendants]]),TRUE())&gt;0,Tasks[[#This Row],[_LeafCritical]]),"Yes",""))</f>
        <v/>
      </c>
      <c r="AJ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3" s="89"/>
      <c r="AM1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3" s="28" t="str">
        <f aca="false">IF(Tasks[[#This Row],[Task Name]]="","",IF(Tasks[[#This Row],[Progress]]&gt;=1,"Complete",IF(OR(N(Tasks[[#This Row],[Actual Start]])&gt;0,Tasks[[#This Row],[Progress]]&gt;0),IF(Tasks[[#This Row],[Finish Var]]&gt;0,"Behind","In Progress"),IF(Tasks[[#This Row],[Planned Start]]&lt;StatusDate,"Late Start","Not Started"))))</f>
        <v/>
      </c>
      <c r="AO133" s="30"/>
      <c r="AP133" s="89"/>
      <c r="AQ1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3" s="96" t="str">
        <f aca="false">IF(Tasks[[#This Row],[Task Name]]="","",IF(Tasks[[#This Row],[_IsSummary]],SUM(INDEX(Tasks[_LeafTotalWork],Tasks[[#This Row],[_Row]]+1):INDEX(Tasks[_LeafTotalWork],Tasks[[#This Row],[_Row]]+Tasks[[#This Row],[_Descendants]])),Tasks[[#This Row],[_LeafTotalWork]]))</f>
        <v/>
      </c>
      <c r="AT133" s="97" t="str">
        <f aca="false">IF(Tasks[[#This Row],[Task Name]]="","",IF(Tasks[[#This Row],[_IsSummary]],SUM(INDEX(Tasks[_LeafTotalCost],Tasks[[#This Row],[_Row]]+1):INDEX(Tasks[_LeafTotalCost],Tasks[[#This Row],[_Row]]+Tasks[[#This Row],[_Descendants]])),Tasks[[#This Row],[_LeafTotalCost]]))</f>
        <v/>
      </c>
      <c r="AU133" s="98"/>
      <c r="AV133" s="29"/>
      <c r="AW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3" s="83"/>
      <c r="AY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3" s="30"/>
      <c r="BA133" s="25" t="str">
        <f aca="false">IF(Tasks[[#This Row],[Task Name]]="","",Tasks[[#This Row],[Forecast Start]])</f>
        <v/>
      </c>
      <c r="BB133" s="25" t="str">
        <f aca="false">IF(Tasks[[#This Row],[Task Name]]="","",Tasks[[#This Row],[Forecast Finish]])</f>
        <v/>
      </c>
      <c r="BC133" s="28" t="str">
        <f aca="false">IF(Tasks[[#This Row],[Task Name]]="","",IF(Tasks[[#This Row],[_IsSummary]],NETWORKDAYS.INTL(Tasks[[#This Row],[Forecast Start]],Tasks[[#This Row],[Forecast Finish]],WorkWeek,Holidays),N(Tasks[[#This Row],[Duration]])))</f>
        <v/>
      </c>
      <c r="BD133" s="96" t="str">
        <f aca="false">IF(Tasks[[#This Row],[Task Name]]="","",Tasks[[#This Row],[Work]])</f>
        <v/>
      </c>
      <c r="BE133" s="97" t="str">
        <f aca="false">IF(Tasks[[#This Row],[Task Name]]="","",Tasks[[#This Row],[Cost]])</f>
        <v/>
      </c>
      <c r="BF133" s="75"/>
      <c r="BG133" s="75"/>
      <c r="BH133" s="29"/>
      <c r="BI133" s="99"/>
      <c r="BJ133" s="98"/>
      <c r="BK133" s="28" t="str">
        <f aca="false">IF(OR(Tasks[[#This Row],[Task Name]]="",Tasks[[#This Row],[Baseline Duration]]=""),"",Tasks[[#This Row],[BL Source Duration]]-N(Tasks[[#This Row],[Baseline Duration]]))</f>
        <v/>
      </c>
      <c r="BL133" s="96" t="str">
        <f aca="false">IF(OR(Tasks[[#This Row],[Task Name]]="",Tasks[[#This Row],[Baseline Work]]=""),"",Tasks[[#This Row],[Work]]-N(Tasks[[#This Row],[Baseline Work]]))</f>
        <v/>
      </c>
      <c r="BM133" s="97" t="str">
        <f aca="false">IF(OR(Tasks[[#This Row],[Task Name]]="",Tasks[[#This Row],[Baseline Cost]]=""),"",Tasks[[#This Row],[Cost]]-N(Tasks[[#This Row],[Baseline Cost]]))</f>
        <v/>
      </c>
      <c r="BN133" s="97" t="str">
        <f aca="false">IF(Tasks[[#This Row],[Task Name]]="","",IF(Tasks[[#This Row],[_IsSummary]],SUM(INDEX(Tasks[_LeafBudget],Tasks[[#This Row],[_Row]]+1):INDEX(Tasks[_LeafBudget],Tasks[[#This Row],[_Row]]+Tasks[[#This Row],[_Descendants]])),Tasks[[#This Row],[_LeafBudget]]))</f>
        <v/>
      </c>
      <c r="BO133" s="97" t="str">
        <f aca="false">IF(Tasks[[#This Row],[Task Name]]="","",IF(Tasks[[#This Row],[_IsSummary]],SUM(INDEX(Tasks[_LeafPV],Tasks[[#This Row],[_Row]]+1):INDEX(Tasks[_LeafPV],Tasks[[#This Row],[_Row]]+Tasks[[#This Row],[_Descendants]])),Tasks[[#This Row],[_LeafPV]]))</f>
        <v/>
      </c>
      <c r="BP133" s="97" t="str">
        <f aca="false">IF(Tasks[[#This Row],[Task Name]]="","",IF(Tasks[[#This Row],[_IsSummary]],SUM(INDEX(Tasks[_LeafEV],Tasks[[#This Row],[_Row]]+1):INDEX(Tasks[_LeafEV],Tasks[[#This Row],[_Row]]+Tasks[[#This Row],[_Descendants]])),Tasks[[#This Row],[_LeafEV]]))</f>
        <v/>
      </c>
      <c r="BQ133" s="97" t="str">
        <f aca="false">IF(Tasks[[#This Row],[Task Name]]="","",IF(Tasks[[#This Row],[_IsSummary]],SUM(INDEX(Tasks[_LeafAC],Tasks[[#This Row],[_Row]]+1):INDEX(Tasks[_LeafAC],Tasks[[#This Row],[_Row]]+Tasks[[#This Row],[_Descendants]])),Tasks[[#This Row],[_LeafAC]]))</f>
        <v/>
      </c>
      <c r="BR133" s="41" t="str">
        <f aca="false">IF(Tasks[[#This Row],[Task Name]]="","",MAX(1,N(Tasks[[#This Row],[Level]])))</f>
        <v/>
      </c>
      <c r="BS133" s="41" t="n">
        <f aca="false">ROW()-ROW(Tasks[[#Headers],[ID]])</f>
        <v>128</v>
      </c>
      <c r="BT133" s="41" t="n">
        <f aca="false">IF(OR(Tasks[[#This Row],[Task Name]]="",Tasks[[#This Row],[_Level]]&lt;=1),0,IFERROR(LOOKUP(2,1/(Tasks[[#Headers],[_Level]]:Tasks[[#This Row],[_Level]]=Tasks[[#This Row],[_Level]]-1),ROW(Tasks[[#Headers],[_Level]]:Tasks[[#This Row],[_Level]])),0))</f>
        <v>0</v>
      </c>
      <c r="BU133" s="41" t="n">
        <f aca="false">IFERROR(N(INDEX(Tasks[_Level],Tasks[[#This Row],[_Row]]+1)),0)</f>
        <v>0</v>
      </c>
      <c r="BV133" s="100" t="b">
        <f aca="false">AND(Tasks[[#This Row],[Task Name]]&lt;&gt;"",Tasks[[#This Row],[_NextLevel]]&gt;Tasks[[#This Row],[_Level]])</f>
        <v>0</v>
      </c>
      <c r="BW133" s="41" t="n">
        <f aca="false">IF(Tasks[[#This Row],[_IsSummary]],COUNTIF(Tasks[WBS],Tasks[[#This Row],[WBS]]&amp;".*"),0)</f>
        <v>0</v>
      </c>
      <c r="BX133" s="41" t="n">
        <f aca="false">IF(AND(Tasks[[#This Row],[Task Name]]&lt;&gt;"",NOT(Tasks[[#This Row],[_IsSummary]])),1,0)</f>
        <v>0</v>
      </c>
      <c r="BY133" s="41" t="n">
        <f aca="false">IF(N(Tasks[[#This Row],[Pred1 UID]])=0,0,IFERROR(MATCH(Tasks[[#This Row],[Pred1 UID]],Tasks[UID],0),-1))</f>
        <v>0</v>
      </c>
      <c r="BZ133" s="41" t="n">
        <f aca="false">IF(N(Tasks[[#This Row],[Pred2 UID]])=0,0,IFERROR(MATCH(Tasks[[#This Row],[Pred2 UID]],Tasks[UID],0),-1))</f>
        <v>0</v>
      </c>
      <c r="CA133" s="41" t="n">
        <f aca="false">IF(N(Tasks[[#This Row],[Pred3 UID]])=0,0,IFERROR(MATCH(Tasks[[#This Row],[Pred3 UID]],Tasks[UID],0),-1))</f>
        <v>0</v>
      </c>
      <c r="CB133" s="41" t="n">
        <f aca="false">IF(N(Tasks[[#This Row],[Pred4 UID]])=0,0,IFERROR(MATCH(Tasks[[#This Row],[Pred4 UID]],Tasks[UID],0),-1))</f>
        <v>0</v>
      </c>
      <c r="CC1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3" s="101" t="n">
        <f aca="false">IF(OR(Tasks[[#This Row],[_ConstraintCode]]=2,Tasks[[#This Row],[_ConstraintCode]]=3,Tasks[[#This Row],[_ConstraintCode]]=4,Tasks[[#This Row],[_ConstraintCode]]=6),Tasks[[#This Row],[_ConstraintStart]],0)</f>
        <v>0</v>
      </c>
      <c r="CF133" s="101" t="n">
        <f aca="false">IF(OR(Tasks[[#This Row],[_ConstraintCode]]=2,Tasks[[#This Row],[_ConstraintCode]]=3,Tasks[[#This Row],[_ConstraintCode]]=5,Tasks[[#This Row],[_ConstraintCode]]=7),Tasks[[#This Row],[_ConstraintStart]],2958465)</f>
        <v>2958465</v>
      </c>
      <c r="CG13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3" s="101" t="str">
        <f aca="false">IF(NOT(Tasks[[#This Row],[_IsLeaf]]=1),"",IF(N(Tasks[[#This Row],[Duration]])&lt;=0,Tasks[[#This Row],[_LeafCalcStart]],WORKDAY.INTL(Tasks[[#This Row],[_LeafCalcStart]],Tasks[[#This Row],[Duration]]-1,WorkWeek,Holidays)))</f>
        <v/>
      </c>
      <c r="CI13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3" s="41" t="n">
        <f aca="false">IF(NOT(Tasks[[#This Row],[_IsLeaf]]=1),0,IF(N(Tasks[[#This Row],[Actual Finish]])&gt;0,1,MIN(1,N(Tasks[[#This Row],[% Complete]]))))</f>
        <v>0</v>
      </c>
      <c r="CL133" s="41" t="n">
        <f aca="false">IF(OR(NOT(Tasks[[#This Row],[_IsLeaf]]=1),Tasks[[#This Row],[Resource]]=""),0,N(Tasks[[#This Row],[Duration]])*HoursPerDay*IF(Tasks[[#This Row],[Units]]="",DefaultUnits,Tasks[[#This Row],[Units]]))</f>
        <v>0</v>
      </c>
      <c r="CM133" s="41" t="n">
        <f aca="false">IF(Tasks[[#This Row],[_LeafWork]]=0,0,Tasks[[#This Row],[_LeafWork]]*IFERROR(INDEX(res_Rate,MATCH(Tasks[[#This Row],[Resource]],res_Name,0)),0))</f>
        <v>0</v>
      </c>
      <c r="CN133" s="41" t="n">
        <f aca="false">Tasks[[#This Row],[_LeafWork]]+IF(Tasks[[#This Row],[_IsLeaf]]=1,SUMIFS(asg_Work,asg_TaskUID,Tasks[[#This Row],[UID]],asg_Valid,1),0)</f>
        <v>0</v>
      </c>
      <c r="CO133" s="41" t="n">
        <f aca="false">Tasks[[#This Row],[_LeafCost]]+IF(Tasks[[#This Row],[_IsLeaf]]=1,SUMIFS(asg_Cost,asg_TaskUID,Tasks[[#This Row],[UID]],asg_Valid,1),0)</f>
        <v>0</v>
      </c>
      <c r="CP133" s="41" t="n">
        <f aca="false">IF(Tasks[[#This Row],[_LeafTotalCost]]=0,Tasks[[#This Row],[_LeafAC]],Tasks[[#This Row],[_LeafAC]]*Tasks[[#This Row],[_LeafCost]]/Tasks[[#This Row],[_LeafTotalCost]])</f>
        <v>0</v>
      </c>
      <c r="CQ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3" s="41" t="n">
        <f aca="false">IF(NOT(Tasks[[#This Row],[_IsLeaf]]=1),0,MAX(_xlfn.MAXIFS(Tasks[_Row],Tasks[Pred1 UID],Tasks[[#This Row],[UID]]),_xlfn.MAXIFS(Tasks[_Row],Tasks[Pred2 UID],Tasks[[#This Row],[UID]]),_xlfn.MAXIFS(Tasks[_Row],Tasks[Pred3 UID],Tasks[[#This Row],[UID]]),_xlfn.MAXIFS(Tasks[_Row],Tasks[Pred4 UID],Tasks[[#This Row],[UID]])))</f>
        <v>0</v>
      </c>
      <c r="CZ1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3" s="101" t="str">
        <f aca="false">IF(NOT(Tasks[[#This Row],[_IsLeaf]]=1),"",IF(N(Tasks[[#This Row],[Duration]])&lt;=0,Tasks[[#This Row],[_LeafLateFinish]],WORKDAY.INTL(Tasks[[#This Row],[_LeafLateFinish]],-(Tasks[[#This Row],[Duration]]-1),WorkWeek,Holidays)))</f>
        <v/>
      </c>
      <c r="DC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3" s="100" t="b">
        <f aca="false">AND(Tasks[[#This Row],[_IsLeaf]]=1,Tasks[[#This Row],[_LeafProgress]]&lt;1,N(Tasks[[#This Row],[_LeafTotalSlack]])&lt;=CriticalSlackDays)</f>
        <v>0</v>
      </c>
      <c r="DE133" s="41" t="n">
        <f aca="false">IF(AND(Tasks[[#This Row],[_IsLeaf]]=1,Tasks[[#This Row],[_ConstraintCode]]=1,Tasks[[#This Row],[Mode]]&lt;&gt;"Manual",N(Tasks[[#This Row],[Actual Start]])=0),MAX(0,N(Tasks[[#This Row],[Free Slack]])),0)</f>
        <v>0</v>
      </c>
      <c r="DF133" s="101" t="str">
        <f aca="false">IF(NOT(Tasks[[#This Row],[_IsLeaf]]=1),"",IF(Tasks[[#This Row],[_AlapShift]]=0,Tasks[[#This Row],[_LeafCalcStart]],WORKDAY.INTL(Tasks[[#This Row],[_LeafCalcStart]],Tasks[[#This Row],[_AlapShift]],WorkWeek,Holidays)))</f>
        <v/>
      </c>
      <c r="DG133" s="101" t="str">
        <f aca="false">IF(NOT(Tasks[[#This Row],[_IsLeaf]]=1),"",IF(Tasks[[#This Row],[_AlapShift]]=0,Tasks[[#This Row],[_LeafCalcFinish]],WORKDAY.INTL(Tasks[[#This Row],[_LeafCalcFinish]],Tasks[[#This Row],[_AlapShift]],WorkWeek,Holidays)))</f>
        <v/>
      </c>
      <c r="DH133" s="101" t="str">
        <f aca="false">IF(NOT(Tasks[[#This Row],[_IsLeaf]]=1),"",IF(Tasks[[#This Row],[_AlapShift]]=0,Tasks[[#This Row],[_LeafFcstStart]],WORKDAY.INTL(Tasks[[#This Row],[_LeafFcstStart]],Tasks[[#This Row],[_AlapShift]],WorkWeek,Holidays)))</f>
        <v/>
      </c>
      <c r="DI133" s="101" t="str">
        <f aca="false">IF(NOT(Tasks[[#This Row],[_IsLeaf]]=1),"",IF(Tasks[[#This Row],[_AlapShift]]=0,Tasks[[#This Row],[_LeafFcstFinish]],WORKDAY.INTL(Tasks[[#This Row],[_LeafFcstFinish]],Tasks[[#This Row],[_AlapShift]],WorkWeek,Holidays)))</f>
        <v/>
      </c>
      <c r="DJ133" s="101" t="str">
        <f aca="false">IF(Tasks[[#This Row],[Task Name]]="","",IF(Tasks[[#This Row],[_IsSummary]],MIN(INDEX(Tasks[_ShownCalcStart],Tasks[[#This Row],[_Row]]+1):INDEX(Tasks[_ShownCalcStart],Tasks[[#This Row],[_Row]]+Tasks[[#This Row],[_Descendants]])),Tasks[[#This Row],[_ShownCalcStart]]))</f>
        <v/>
      </c>
      <c r="DK133" s="101" t="str">
        <f aca="false">IF(Tasks[[#This Row],[Task Name]]="","",IF(Tasks[[#This Row],[_IsSummary]],MAX(INDEX(Tasks[_ShownCalcFinish],Tasks[[#This Row],[_Row]]+1):INDEX(Tasks[_ShownCalcFinish],Tasks[[#This Row],[_Row]]+Tasks[[#This Row],[_Descendants]])),Tasks[[#This Row],[_ShownCalcFinish]]))</f>
        <v/>
      </c>
      <c r="D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3" s="41" t="n">
        <f aca="false">IF(AND(Tasks[[#This Row],[_IsLeaf]]=1,Tasks[[#This Row],[_LeafTotalWork]]&gt;0),NETWORKDAYS.INTL(ProjectStart,Tasks[[#This Row],[_ShownFcstStart]],WorkWeek,Holidays),0)</f>
        <v>0</v>
      </c>
      <c r="DY133" s="41" t="n">
        <f aca="false">IF(AND(Tasks[[#This Row],[_IsLeaf]]=1,Tasks[[#This Row],[_LeafTotalWork]]&gt;0),MAX(Tasks[[#This Row],[_StartWorkday]],NETWORKDAYS.INTL(ProjectStart,Tasks[[#This Row],[_ShownFcstFinish]],WorkWeek,Holidays)),0)</f>
        <v>0</v>
      </c>
      <c r="DZ133" s="41" t="n">
        <f aca="false">IF(AND(Tasks[[#This Row],[_IsLeaf]]=1,Tasks[[#This Row],[_LeafTotalWork]]&gt;0),Tasks[[#This Row],[_LeafWork]]/(Tasks[[#This Row],[_FinishWorkday]]-Tasks[[#This Row],[_StartWorkday]]+1),0)</f>
        <v>0</v>
      </c>
      <c r="EA133" s="41" t="n">
        <f aca="false">Tasks[[#This Row],[_WorkPerWorkday]]*(Tasks[[#This Row],[_StartWorkday]]-1)</f>
        <v>-0</v>
      </c>
      <c r="EB133" s="41" t="n">
        <f aca="false">IF(Tasks[[#This Row],[_IsLeaf]]=1,MAX(N(Tasks[[#This Row],[Duration]]),0.1),0)</f>
        <v>0</v>
      </c>
      <c r="EC133" s="41" t="n">
        <f aca="false">Tasks[[#This Row],[_WeightDur]]*Tasks[[#This Row],[_LeafProgress]]</f>
        <v>0</v>
      </c>
      <c r="ED1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3" s="41" t="str">
        <f aca="false">IF(AND(Tasks[[#This Row],[_IsLeaf]]=1,N(Tasks[[#This Row],[Duration]])=0,Tasks[[#This Row],[_LeafProgress]]&lt;1),Tasks[[#This Row],[_ShownFcstFinish]]+Tasks[[#This Row],[_Row]]/100000,"")</f>
        <v/>
      </c>
      <c r="EF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3" s="41" t="n">
        <f aca="false">IF(NOT(Tasks[[#This Row],[_IsLeaf]]=1),0,IF(Tasks[[#This Row],[Baseline Cost]]="",Tasks[[#This Row],[_LeafTotalCost]],N(Tasks[[#This Row],[Baseline Cost]])))</f>
        <v>0</v>
      </c>
      <c r="EH133" s="41" t="n">
        <f aca="false">Tasks[[#This Row],[_LeafBudget]]*Tasks[[#This Row],[_PlannedPct]]</f>
        <v>0</v>
      </c>
      <c r="EI133" s="41" t="n">
        <f aca="false">Tasks[[#This Row],[_LeafBudget]]*Tasks[[#This Row],[_LeafProgress]]</f>
        <v>0</v>
      </c>
      <c r="EJ133" s="41" t="n">
        <f aca="false">IF(NOT(Tasks[[#This Row],[_IsLeaf]]=1),0,IF(Tasks[[#This Row],[Actual Cost]]="",Tasks[[#This Row],[_LeafTotalCost]]*Tasks[[#This Row],[_LeafProgress]],N(Tasks[[#This Row],[Actual Cost]])))</f>
        <v>0</v>
      </c>
      <c r="EK133" s="41" t="str">
        <f aca="false">IF(Tasks[[#This Row],[Task Name]]="","",LEFT(Tasks[[#This Row],[WBS]],FIND(".",Tasks[[#This Row],[WBS]]&amp;".")-1))</f>
        <v/>
      </c>
      <c r="EL133" s="41" t="str">
        <f aca="false">IF(AND(Tasks[[#This Row],[Task Name]]&lt;&gt;"",Tasks[[#This Row],[_Level]]=1),Tasks[[#This Row],[_Row]],"")</f>
        <v/>
      </c>
      <c r="EM133" s="41" t="str">
        <f aca="false">IF(AND(Tasks[[#This Row],[_IsLeaf]]=1,N(Tasks[[#This Row],[Duration]])=0),Tasks[[#This Row],[Planned Finish]]+Tasks[[#This Row],[_Row]]/100000,"")</f>
        <v/>
      </c>
      <c r="EN133" s="41" t="str">
        <f aca="false">IF(AND(Tasks[[#This Row],[_IsLeaf]]=1,Tasks[[#This Row],[_LeafProgress]]&lt;1,OR(N(Tasks[[#This Row],[Finish Var]])&gt;0,Tasks[[#This Row],[Status]]="Late Start")),MAX(0,Tasks[[#This Row],[Finish Var]])+1-Tasks[[#This Row],[_Row]]/1000000,"")</f>
        <v/>
      </c>
      <c r="EO133" s="41" t="str">
        <f aca="false">IF(AND(Tasks[[#This Row],[_IsLeaf]]=1,N(Tasks[[#This Row],[Actual Start]])=0,Tasks[[#This Row],[_ShownFcstStart]]&gt;=StatusDate,Tasks[[#This Row],[_ShownFcstStart]]&lt;=LookaheadEnd),Tasks[[#This Row],[_ShownFcstStart]]+Tasks[[#This Row],[_Row]]/100000,"")</f>
        <v/>
      </c>
      <c r="EP133" s="41" t="str">
        <f aca="false">IF(AND(Tasks[[#This Row],[_IsLeaf]]=1,Tasks[[#This Row],[_LeafProgress]]&lt;1,Tasks[[#This Row],[_ShownFcstFinish]]&gt;=StatusDate,Tasks[[#This Row],[_ShownFcstFinish]]&lt;=LookaheadEnd),Tasks[[#This Row],[_ShownFcstFinish]]+Tasks[[#This Row],[_Row]]/100000,"")</f>
        <v/>
      </c>
      <c r="EQ133" s="41" t="str">
        <f aca="false">IF(Tasks[[#This Row],[_LeafCritical]],Tasks[[#This Row],[_ShownFcstStart]]+Tasks[[#This Row],[_Row]]/100000,"")</f>
        <v/>
      </c>
      <c r="ER133" s="41" t="n">
        <f aca="false">Tasks[[#This Row],[_LeafWork]]*Tasks[[#This Row],[_LeafProgress]]</f>
        <v>0</v>
      </c>
      <c r="ES133" s="101" t="str">
        <f aca="false">IF(AND(Tasks[[#This Row],[_IsLeaf]]=1,Tasks[[#This Row],[_LeafProgress]]&gt;=1),IF(N(Tasks[[#This Row],[Actual Finish]])&gt;0,Tasks[[#This Row],[Actual Finish]],Tasks[[#This Row],[_ShownFcstFinish]]),"")</f>
        <v/>
      </c>
      <c r="ET133" s="41" t="n">
        <f aca="false">IF(Tasks[[#This Row],[_IsLeaf]]=1,N(Tasks[[#This Row],[Story Points]]),0)</f>
        <v>0</v>
      </c>
      <c r="EU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29"/>
      <c r="O134" s="29"/>
      <c r="P134" s="29"/>
      <c r="Q134" s="29"/>
      <c r="R134" s="29"/>
      <c r="S134" s="29"/>
      <c r="T134" s="30"/>
      <c r="U134" s="75"/>
      <c r="V134" s="75"/>
      <c r="W134" s="25" t="str">
        <f aca="false">IF(Tasks[[#This Row],[Task Name]]="","",IF(N(Tasks[[#This Row],[Baseline Start]])&gt;0,Tasks[[#This Row],[Baseline Start]],Tasks[[#This Row],[_CalcStart]]))</f>
        <v/>
      </c>
      <c r="X134" s="25" t="str">
        <f aca="false">IF(Tasks[[#This Row],[Task Name]]="","",IF(N(Tasks[[#This Row],[Baseline Finish]])&gt;0,Tasks[[#This Row],[Baseline Finish]],Tasks[[#This Row],[_CalcFinish]]))</f>
        <v/>
      </c>
      <c r="Y134" s="75"/>
      <c r="Z134" s="75"/>
      <c r="AA134" s="25" t="str">
        <f aca="false">IF(Tasks[[#This Row],[Task Name]]="","",IF(Tasks[[#This Row],[_IsSummary]],MIN(INDEX(Tasks[_ShownFcstStart],Tasks[[#This Row],[_Row]]+1):INDEX(Tasks[_ShownFcstStart],Tasks[[#This Row],[_Row]]+Tasks[[#This Row],[_Descendants]])),Tasks[[#This Row],[_ShownFcstStart]]))</f>
        <v/>
      </c>
      <c r="AB134" s="25" t="str">
        <f aca="false">IF(Tasks[[#This Row],[Task Name]]="","",IF(Tasks[[#This Row],[_IsSummary]],MAX(INDEX(Tasks[_ShownFcstFinish],Tasks[[#This Row],[_Row]]+1):INDEX(Tasks[_ShownFcstFinish],Tasks[[#This Row],[_Row]]+Tasks[[#This Row],[_Descendants]])),Tasks[[#This Row],[_ShownFcstFinish]]))</f>
        <v/>
      </c>
      <c r="AC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4" s="25" t="str">
        <f aca="false">IF(Tasks[[#This Row],[Task Name]]="","",IF(Tasks[[#This Row],[_IsSummary]],MIN(INDEX(Tasks[_LeafLateStart],Tasks[[#This Row],[_Row]]+1):INDEX(Tasks[_LeafLateStart],Tasks[[#This Row],[_Row]]+Tasks[[#This Row],[_Descendants]])),Tasks[[#This Row],[_LeafLateStart]]))</f>
        <v/>
      </c>
      <c r="AF134" s="25" t="str">
        <f aca="false">IF(Tasks[[#This Row],[Task Name]]="","",IF(Tasks[[#This Row],[_IsSummary]],MAX(INDEX(Tasks[_LeafLateFinish],Tasks[[#This Row],[_Row]]+1):INDEX(Tasks[_LeafLateFinish],Tasks[[#This Row],[_Row]]+Tasks[[#This Row],[_Descendants]])),Tasks[[#This Row],[_LeafLateFinish]]))</f>
        <v/>
      </c>
      <c r="AG134" s="28" t="str">
        <f aca="false">IF(Tasks[[#This Row],[Task Name]]="","",IF(Tasks[[#This Row],[_IsSummary]],MIN(INDEX(Tasks[_LeafTotalSlack],Tasks[[#This Row],[_Row]]+1):INDEX(Tasks[_LeafTotalSlack],Tasks[[#This Row],[_Row]]+Tasks[[#This Row],[_Descendants]])),Tasks[[#This Row],[_LeafTotalSlack]]))</f>
        <v/>
      </c>
      <c r="AH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4" s="28" t="str">
        <f aca="false">IF(Tasks[[#This Row],[Task Name]]="","",IF(IF(Tasks[[#This Row],[_IsSummary]],COUNTIF(INDEX(Tasks[_LeafCritical],Tasks[[#This Row],[_Row]]+1):INDEX(Tasks[_LeafCritical],Tasks[[#This Row],[_Row]]+Tasks[[#This Row],[_Descendants]]),TRUE())&gt;0,Tasks[[#This Row],[_LeafCritical]]),"Yes",""))</f>
        <v/>
      </c>
      <c r="AJ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4" s="89"/>
      <c r="AM1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4" s="28" t="str">
        <f aca="false">IF(Tasks[[#This Row],[Task Name]]="","",IF(Tasks[[#This Row],[Progress]]&gt;=1,"Complete",IF(OR(N(Tasks[[#This Row],[Actual Start]])&gt;0,Tasks[[#This Row],[Progress]]&gt;0),IF(Tasks[[#This Row],[Finish Var]]&gt;0,"Behind","In Progress"),IF(Tasks[[#This Row],[Planned Start]]&lt;StatusDate,"Late Start","Not Started"))))</f>
        <v/>
      </c>
      <c r="AO134" s="30"/>
      <c r="AP134" s="89"/>
      <c r="AQ1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4" s="96" t="str">
        <f aca="false">IF(Tasks[[#This Row],[Task Name]]="","",IF(Tasks[[#This Row],[_IsSummary]],SUM(INDEX(Tasks[_LeafTotalWork],Tasks[[#This Row],[_Row]]+1):INDEX(Tasks[_LeafTotalWork],Tasks[[#This Row],[_Row]]+Tasks[[#This Row],[_Descendants]])),Tasks[[#This Row],[_LeafTotalWork]]))</f>
        <v/>
      </c>
      <c r="AT134" s="97" t="str">
        <f aca="false">IF(Tasks[[#This Row],[Task Name]]="","",IF(Tasks[[#This Row],[_IsSummary]],SUM(INDEX(Tasks[_LeafTotalCost],Tasks[[#This Row],[_Row]]+1):INDEX(Tasks[_LeafTotalCost],Tasks[[#This Row],[_Row]]+Tasks[[#This Row],[_Descendants]])),Tasks[[#This Row],[_LeafTotalCost]]))</f>
        <v/>
      </c>
      <c r="AU134" s="98"/>
      <c r="AV134" s="29"/>
      <c r="AW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4" s="83"/>
      <c r="AY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4" s="30"/>
      <c r="BA134" s="25" t="str">
        <f aca="false">IF(Tasks[[#This Row],[Task Name]]="","",Tasks[[#This Row],[Forecast Start]])</f>
        <v/>
      </c>
      <c r="BB134" s="25" t="str">
        <f aca="false">IF(Tasks[[#This Row],[Task Name]]="","",Tasks[[#This Row],[Forecast Finish]])</f>
        <v/>
      </c>
      <c r="BC134" s="28" t="str">
        <f aca="false">IF(Tasks[[#This Row],[Task Name]]="","",IF(Tasks[[#This Row],[_IsSummary]],NETWORKDAYS.INTL(Tasks[[#This Row],[Forecast Start]],Tasks[[#This Row],[Forecast Finish]],WorkWeek,Holidays),N(Tasks[[#This Row],[Duration]])))</f>
        <v/>
      </c>
      <c r="BD134" s="96" t="str">
        <f aca="false">IF(Tasks[[#This Row],[Task Name]]="","",Tasks[[#This Row],[Work]])</f>
        <v/>
      </c>
      <c r="BE134" s="97" t="str">
        <f aca="false">IF(Tasks[[#This Row],[Task Name]]="","",Tasks[[#This Row],[Cost]])</f>
        <v/>
      </c>
      <c r="BF134" s="75"/>
      <c r="BG134" s="75"/>
      <c r="BH134" s="29"/>
      <c r="BI134" s="99"/>
      <c r="BJ134" s="98"/>
      <c r="BK134" s="28" t="str">
        <f aca="false">IF(OR(Tasks[[#This Row],[Task Name]]="",Tasks[[#This Row],[Baseline Duration]]=""),"",Tasks[[#This Row],[BL Source Duration]]-N(Tasks[[#This Row],[Baseline Duration]]))</f>
        <v/>
      </c>
      <c r="BL134" s="96" t="str">
        <f aca="false">IF(OR(Tasks[[#This Row],[Task Name]]="",Tasks[[#This Row],[Baseline Work]]=""),"",Tasks[[#This Row],[Work]]-N(Tasks[[#This Row],[Baseline Work]]))</f>
        <v/>
      </c>
      <c r="BM134" s="97" t="str">
        <f aca="false">IF(OR(Tasks[[#This Row],[Task Name]]="",Tasks[[#This Row],[Baseline Cost]]=""),"",Tasks[[#This Row],[Cost]]-N(Tasks[[#This Row],[Baseline Cost]]))</f>
        <v/>
      </c>
      <c r="BN134" s="97" t="str">
        <f aca="false">IF(Tasks[[#This Row],[Task Name]]="","",IF(Tasks[[#This Row],[_IsSummary]],SUM(INDEX(Tasks[_LeafBudget],Tasks[[#This Row],[_Row]]+1):INDEX(Tasks[_LeafBudget],Tasks[[#This Row],[_Row]]+Tasks[[#This Row],[_Descendants]])),Tasks[[#This Row],[_LeafBudget]]))</f>
        <v/>
      </c>
      <c r="BO134" s="97" t="str">
        <f aca="false">IF(Tasks[[#This Row],[Task Name]]="","",IF(Tasks[[#This Row],[_IsSummary]],SUM(INDEX(Tasks[_LeafPV],Tasks[[#This Row],[_Row]]+1):INDEX(Tasks[_LeafPV],Tasks[[#This Row],[_Row]]+Tasks[[#This Row],[_Descendants]])),Tasks[[#This Row],[_LeafPV]]))</f>
        <v/>
      </c>
      <c r="BP134" s="97" t="str">
        <f aca="false">IF(Tasks[[#This Row],[Task Name]]="","",IF(Tasks[[#This Row],[_IsSummary]],SUM(INDEX(Tasks[_LeafEV],Tasks[[#This Row],[_Row]]+1):INDEX(Tasks[_LeafEV],Tasks[[#This Row],[_Row]]+Tasks[[#This Row],[_Descendants]])),Tasks[[#This Row],[_LeafEV]]))</f>
        <v/>
      </c>
      <c r="BQ134" s="97" t="str">
        <f aca="false">IF(Tasks[[#This Row],[Task Name]]="","",IF(Tasks[[#This Row],[_IsSummary]],SUM(INDEX(Tasks[_LeafAC],Tasks[[#This Row],[_Row]]+1):INDEX(Tasks[_LeafAC],Tasks[[#This Row],[_Row]]+Tasks[[#This Row],[_Descendants]])),Tasks[[#This Row],[_LeafAC]]))</f>
        <v/>
      </c>
      <c r="BR134" s="41" t="str">
        <f aca="false">IF(Tasks[[#This Row],[Task Name]]="","",MAX(1,N(Tasks[[#This Row],[Level]])))</f>
        <v/>
      </c>
      <c r="BS134" s="41" t="n">
        <f aca="false">ROW()-ROW(Tasks[[#Headers],[ID]])</f>
        <v>129</v>
      </c>
      <c r="BT134" s="41" t="n">
        <f aca="false">IF(OR(Tasks[[#This Row],[Task Name]]="",Tasks[[#This Row],[_Level]]&lt;=1),0,IFERROR(LOOKUP(2,1/(Tasks[[#Headers],[_Level]]:Tasks[[#This Row],[_Level]]=Tasks[[#This Row],[_Level]]-1),ROW(Tasks[[#Headers],[_Level]]:Tasks[[#This Row],[_Level]])),0))</f>
        <v>0</v>
      </c>
      <c r="BU134" s="41" t="n">
        <f aca="false">IFERROR(N(INDEX(Tasks[_Level],Tasks[[#This Row],[_Row]]+1)),0)</f>
        <v>0</v>
      </c>
      <c r="BV134" s="100" t="b">
        <f aca="false">AND(Tasks[[#This Row],[Task Name]]&lt;&gt;"",Tasks[[#This Row],[_NextLevel]]&gt;Tasks[[#This Row],[_Level]])</f>
        <v>0</v>
      </c>
      <c r="BW134" s="41" t="n">
        <f aca="false">IF(Tasks[[#This Row],[_IsSummary]],COUNTIF(Tasks[WBS],Tasks[[#This Row],[WBS]]&amp;".*"),0)</f>
        <v>0</v>
      </c>
      <c r="BX134" s="41" t="n">
        <f aca="false">IF(AND(Tasks[[#This Row],[Task Name]]&lt;&gt;"",NOT(Tasks[[#This Row],[_IsSummary]])),1,0)</f>
        <v>0</v>
      </c>
      <c r="BY134" s="41" t="n">
        <f aca="false">IF(N(Tasks[[#This Row],[Pred1 UID]])=0,0,IFERROR(MATCH(Tasks[[#This Row],[Pred1 UID]],Tasks[UID],0),-1))</f>
        <v>0</v>
      </c>
      <c r="BZ134" s="41" t="n">
        <f aca="false">IF(N(Tasks[[#This Row],[Pred2 UID]])=0,0,IFERROR(MATCH(Tasks[[#This Row],[Pred2 UID]],Tasks[UID],0),-1))</f>
        <v>0</v>
      </c>
      <c r="CA134" s="41" t="n">
        <f aca="false">IF(N(Tasks[[#This Row],[Pred3 UID]])=0,0,IFERROR(MATCH(Tasks[[#This Row],[Pred3 UID]],Tasks[UID],0),-1))</f>
        <v>0</v>
      </c>
      <c r="CB134" s="41" t="n">
        <f aca="false">IF(N(Tasks[[#This Row],[Pred4 UID]])=0,0,IFERROR(MATCH(Tasks[[#This Row],[Pred4 UID]],Tasks[UID],0),-1))</f>
        <v>0</v>
      </c>
      <c r="CC1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4" s="101" t="n">
        <f aca="false">IF(OR(Tasks[[#This Row],[_ConstraintCode]]=2,Tasks[[#This Row],[_ConstraintCode]]=3,Tasks[[#This Row],[_ConstraintCode]]=4,Tasks[[#This Row],[_ConstraintCode]]=6),Tasks[[#This Row],[_ConstraintStart]],0)</f>
        <v>0</v>
      </c>
      <c r="CF134" s="101" t="n">
        <f aca="false">IF(OR(Tasks[[#This Row],[_ConstraintCode]]=2,Tasks[[#This Row],[_ConstraintCode]]=3,Tasks[[#This Row],[_ConstraintCode]]=5,Tasks[[#This Row],[_ConstraintCode]]=7),Tasks[[#This Row],[_ConstraintStart]],2958465)</f>
        <v>2958465</v>
      </c>
      <c r="CG13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4" s="101" t="str">
        <f aca="false">IF(NOT(Tasks[[#This Row],[_IsLeaf]]=1),"",IF(N(Tasks[[#This Row],[Duration]])&lt;=0,Tasks[[#This Row],[_LeafCalcStart]],WORKDAY.INTL(Tasks[[#This Row],[_LeafCalcStart]],Tasks[[#This Row],[Duration]]-1,WorkWeek,Holidays)))</f>
        <v/>
      </c>
      <c r="CI13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4" s="41" t="n">
        <f aca="false">IF(NOT(Tasks[[#This Row],[_IsLeaf]]=1),0,IF(N(Tasks[[#This Row],[Actual Finish]])&gt;0,1,MIN(1,N(Tasks[[#This Row],[% Complete]]))))</f>
        <v>0</v>
      </c>
      <c r="CL134" s="41" t="n">
        <f aca="false">IF(OR(NOT(Tasks[[#This Row],[_IsLeaf]]=1),Tasks[[#This Row],[Resource]]=""),0,N(Tasks[[#This Row],[Duration]])*HoursPerDay*IF(Tasks[[#This Row],[Units]]="",DefaultUnits,Tasks[[#This Row],[Units]]))</f>
        <v>0</v>
      </c>
      <c r="CM134" s="41" t="n">
        <f aca="false">IF(Tasks[[#This Row],[_LeafWork]]=0,0,Tasks[[#This Row],[_LeafWork]]*IFERROR(INDEX(res_Rate,MATCH(Tasks[[#This Row],[Resource]],res_Name,0)),0))</f>
        <v>0</v>
      </c>
      <c r="CN134" s="41" t="n">
        <f aca="false">Tasks[[#This Row],[_LeafWork]]+IF(Tasks[[#This Row],[_IsLeaf]]=1,SUMIFS(asg_Work,asg_TaskUID,Tasks[[#This Row],[UID]],asg_Valid,1),0)</f>
        <v>0</v>
      </c>
      <c r="CO134" s="41" t="n">
        <f aca="false">Tasks[[#This Row],[_LeafCost]]+IF(Tasks[[#This Row],[_IsLeaf]]=1,SUMIFS(asg_Cost,asg_TaskUID,Tasks[[#This Row],[UID]],asg_Valid,1),0)</f>
        <v>0</v>
      </c>
      <c r="CP134" s="41" t="n">
        <f aca="false">IF(Tasks[[#This Row],[_LeafTotalCost]]=0,Tasks[[#This Row],[_LeafAC]],Tasks[[#This Row],[_LeafAC]]*Tasks[[#This Row],[_LeafCost]]/Tasks[[#This Row],[_LeafTotalCost]])</f>
        <v>0</v>
      </c>
      <c r="CQ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4" s="41" t="n">
        <f aca="false">IF(NOT(Tasks[[#This Row],[_IsLeaf]]=1),0,MAX(_xlfn.MAXIFS(Tasks[_Row],Tasks[Pred1 UID],Tasks[[#This Row],[UID]]),_xlfn.MAXIFS(Tasks[_Row],Tasks[Pred2 UID],Tasks[[#This Row],[UID]]),_xlfn.MAXIFS(Tasks[_Row],Tasks[Pred3 UID],Tasks[[#This Row],[UID]]),_xlfn.MAXIFS(Tasks[_Row],Tasks[Pred4 UID],Tasks[[#This Row],[UID]])))</f>
        <v>0</v>
      </c>
      <c r="CZ1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4" s="101" t="str">
        <f aca="false">IF(NOT(Tasks[[#This Row],[_IsLeaf]]=1),"",IF(N(Tasks[[#This Row],[Duration]])&lt;=0,Tasks[[#This Row],[_LeafLateFinish]],WORKDAY.INTL(Tasks[[#This Row],[_LeafLateFinish]],-(Tasks[[#This Row],[Duration]]-1),WorkWeek,Holidays)))</f>
        <v/>
      </c>
      <c r="DC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4" s="100" t="b">
        <f aca="false">AND(Tasks[[#This Row],[_IsLeaf]]=1,Tasks[[#This Row],[_LeafProgress]]&lt;1,N(Tasks[[#This Row],[_LeafTotalSlack]])&lt;=CriticalSlackDays)</f>
        <v>0</v>
      </c>
      <c r="DE134" s="41" t="n">
        <f aca="false">IF(AND(Tasks[[#This Row],[_IsLeaf]]=1,Tasks[[#This Row],[_ConstraintCode]]=1,Tasks[[#This Row],[Mode]]&lt;&gt;"Manual",N(Tasks[[#This Row],[Actual Start]])=0),MAX(0,N(Tasks[[#This Row],[Free Slack]])),0)</f>
        <v>0</v>
      </c>
      <c r="DF134" s="101" t="str">
        <f aca="false">IF(NOT(Tasks[[#This Row],[_IsLeaf]]=1),"",IF(Tasks[[#This Row],[_AlapShift]]=0,Tasks[[#This Row],[_LeafCalcStart]],WORKDAY.INTL(Tasks[[#This Row],[_LeafCalcStart]],Tasks[[#This Row],[_AlapShift]],WorkWeek,Holidays)))</f>
        <v/>
      </c>
      <c r="DG134" s="101" t="str">
        <f aca="false">IF(NOT(Tasks[[#This Row],[_IsLeaf]]=1),"",IF(Tasks[[#This Row],[_AlapShift]]=0,Tasks[[#This Row],[_LeafCalcFinish]],WORKDAY.INTL(Tasks[[#This Row],[_LeafCalcFinish]],Tasks[[#This Row],[_AlapShift]],WorkWeek,Holidays)))</f>
        <v/>
      </c>
      <c r="DH134" s="101" t="str">
        <f aca="false">IF(NOT(Tasks[[#This Row],[_IsLeaf]]=1),"",IF(Tasks[[#This Row],[_AlapShift]]=0,Tasks[[#This Row],[_LeafFcstStart]],WORKDAY.INTL(Tasks[[#This Row],[_LeafFcstStart]],Tasks[[#This Row],[_AlapShift]],WorkWeek,Holidays)))</f>
        <v/>
      </c>
      <c r="DI134" s="101" t="str">
        <f aca="false">IF(NOT(Tasks[[#This Row],[_IsLeaf]]=1),"",IF(Tasks[[#This Row],[_AlapShift]]=0,Tasks[[#This Row],[_LeafFcstFinish]],WORKDAY.INTL(Tasks[[#This Row],[_LeafFcstFinish]],Tasks[[#This Row],[_AlapShift]],WorkWeek,Holidays)))</f>
        <v/>
      </c>
      <c r="DJ134" s="101" t="str">
        <f aca="false">IF(Tasks[[#This Row],[Task Name]]="","",IF(Tasks[[#This Row],[_IsSummary]],MIN(INDEX(Tasks[_ShownCalcStart],Tasks[[#This Row],[_Row]]+1):INDEX(Tasks[_ShownCalcStart],Tasks[[#This Row],[_Row]]+Tasks[[#This Row],[_Descendants]])),Tasks[[#This Row],[_ShownCalcStart]]))</f>
        <v/>
      </c>
      <c r="DK134" s="101" t="str">
        <f aca="false">IF(Tasks[[#This Row],[Task Name]]="","",IF(Tasks[[#This Row],[_IsSummary]],MAX(INDEX(Tasks[_ShownCalcFinish],Tasks[[#This Row],[_Row]]+1):INDEX(Tasks[_ShownCalcFinish],Tasks[[#This Row],[_Row]]+Tasks[[#This Row],[_Descendants]])),Tasks[[#This Row],[_ShownCalcFinish]]))</f>
        <v/>
      </c>
      <c r="D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4" s="41" t="n">
        <f aca="false">IF(AND(Tasks[[#This Row],[_IsLeaf]]=1,Tasks[[#This Row],[_LeafTotalWork]]&gt;0),NETWORKDAYS.INTL(ProjectStart,Tasks[[#This Row],[_ShownFcstStart]],WorkWeek,Holidays),0)</f>
        <v>0</v>
      </c>
      <c r="DY134" s="41" t="n">
        <f aca="false">IF(AND(Tasks[[#This Row],[_IsLeaf]]=1,Tasks[[#This Row],[_LeafTotalWork]]&gt;0),MAX(Tasks[[#This Row],[_StartWorkday]],NETWORKDAYS.INTL(ProjectStart,Tasks[[#This Row],[_ShownFcstFinish]],WorkWeek,Holidays)),0)</f>
        <v>0</v>
      </c>
      <c r="DZ134" s="41" t="n">
        <f aca="false">IF(AND(Tasks[[#This Row],[_IsLeaf]]=1,Tasks[[#This Row],[_LeafTotalWork]]&gt;0),Tasks[[#This Row],[_LeafWork]]/(Tasks[[#This Row],[_FinishWorkday]]-Tasks[[#This Row],[_StartWorkday]]+1),0)</f>
        <v>0</v>
      </c>
      <c r="EA134" s="41" t="n">
        <f aca="false">Tasks[[#This Row],[_WorkPerWorkday]]*(Tasks[[#This Row],[_StartWorkday]]-1)</f>
        <v>-0</v>
      </c>
      <c r="EB134" s="41" t="n">
        <f aca="false">IF(Tasks[[#This Row],[_IsLeaf]]=1,MAX(N(Tasks[[#This Row],[Duration]]),0.1),0)</f>
        <v>0</v>
      </c>
      <c r="EC134" s="41" t="n">
        <f aca="false">Tasks[[#This Row],[_WeightDur]]*Tasks[[#This Row],[_LeafProgress]]</f>
        <v>0</v>
      </c>
      <c r="ED1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4" s="41" t="str">
        <f aca="false">IF(AND(Tasks[[#This Row],[_IsLeaf]]=1,N(Tasks[[#This Row],[Duration]])=0,Tasks[[#This Row],[_LeafProgress]]&lt;1),Tasks[[#This Row],[_ShownFcstFinish]]+Tasks[[#This Row],[_Row]]/100000,"")</f>
        <v/>
      </c>
      <c r="EF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4" s="41" t="n">
        <f aca="false">IF(NOT(Tasks[[#This Row],[_IsLeaf]]=1),0,IF(Tasks[[#This Row],[Baseline Cost]]="",Tasks[[#This Row],[_LeafTotalCost]],N(Tasks[[#This Row],[Baseline Cost]])))</f>
        <v>0</v>
      </c>
      <c r="EH134" s="41" t="n">
        <f aca="false">Tasks[[#This Row],[_LeafBudget]]*Tasks[[#This Row],[_PlannedPct]]</f>
        <v>0</v>
      </c>
      <c r="EI134" s="41" t="n">
        <f aca="false">Tasks[[#This Row],[_LeafBudget]]*Tasks[[#This Row],[_LeafProgress]]</f>
        <v>0</v>
      </c>
      <c r="EJ134" s="41" t="n">
        <f aca="false">IF(NOT(Tasks[[#This Row],[_IsLeaf]]=1),0,IF(Tasks[[#This Row],[Actual Cost]]="",Tasks[[#This Row],[_LeafTotalCost]]*Tasks[[#This Row],[_LeafProgress]],N(Tasks[[#This Row],[Actual Cost]])))</f>
        <v>0</v>
      </c>
      <c r="EK134" s="41" t="str">
        <f aca="false">IF(Tasks[[#This Row],[Task Name]]="","",LEFT(Tasks[[#This Row],[WBS]],FIND(".",Tasks[[#This Row],[WBS]]&amp;".")-1))</f>
        <v/>
      </c>
      <c r="EL134" s="41" t="str">
        <f aca="false">IF(AND(Tasks[[#This Row],[Task Name]]&lt;&gt;"",Tasks[[#This Row],[_Level]]=1),Tasks[[#This Row],[_Row]],"")</f>
        <v/>
      </c>
      <c r="EM134" s="41" t="str">
        <f aca="false">IF(AND(Tasks[[#This Row],[_IsLeaf]]=1,N(Tasks[[#This Row],[Duration]])=0),Tasks[[#This Row],[Planned Finish]]+Tasks[[#This Row],[_Row]]/100000,"")</f>
        <v/>
      </c>
      <c r="EN134" s="41" t="str">
        <f aca="false">IF(AND(Tasks[[#This Row],[_IsLeaf]]=1,Tasks[[#This Row],[_LeafProgress]]&lt;1,OR(N(Tasks[[#This Row],[Finish Var]])&gt;0,Tasks[[#This Row],[Status]]="Late Start")),MAX(0,Tasks[[#This Row],[Finish Var]])+1-Tasks[[#This Row],[_Row]]/1000000,"")</f>
        <v/>
      </c>
      <c r="EO134" s="41" t="str">
        <f aca="false">IF(AND(Tasks[[#This Row],[_IsLeaf]]=1,N(Tasks[[#This Row],[Actual Start]])=0,Tasks[[#This Row],[_ShownFcstStart]]&gt;=StatusDate,Tasks[[#This Row],[_ShownFcstStart]]&lt;=LookaheadEnd),Tasks[[#This Row],[_ShownFcstStart]]+Tasks[[#This Row],[_Row]]/100000,"")</f>
        <v/>
      </c>
      <c r="EP134" s="41" t="str">
        <f aca="false">IF(AND(Tasks[[#This Row],[_IsLeaf]]=1,Tasks[[#This Row],[_LeafProgress]]&lt;1,Tasks[[#This Row],[_ShownFcstFinish]]&gt;=StatusDate,Tasks[[#This Row],[_ShownFcstFinish]]&lt;=LookaheadEnd),Tasks[[#This Row],[_ShownFcstFinish]]+Tasks[[#This Row],[_Row]]/100000,"")</f>
        <v/>
      </c>
      <c r="EQ134" s="41" t="str">
        <f aca="false">IF(Tasks[[#This Row],[_LeafCritical]],Tasks[[#This Row],[_ShownFcstStart]]+Tasks[[#This Row],[_Row]]/100000,"")</f>
        <v/>
      </c>
      <c r="ER134" s="41" t="n">
        <f aca="false">Tasks[[#This Row],[_LeafWork]]*Tasks[[#This Row],[_LeafProgress]]</f>
        <v>0</v>
      </c>
      <c r="ES134" s="101" t="str">
        <f aca="false">IF(AND(Tasks[[#This Row],[_IsLeaf]]=1,Tasks[[#This Row],[_LeafProgress]]&gt;=1),IF(N(Tasks[[#This Row],[Actual Finish]])&gt;0,Tasks[[#This Row],[Actual Finish]],Tasks[[#This Row],[_ShownFcstFinish]]),"")</f>
        <v/>
      </c>
      <c r="ET134" s="41" t="n">
        <f aca="false">IF(Tasks[[#This Row],[_IsLeaf]]=1,N(Tasks[[#This Row],[Story Points]]),0)</f>
        <v>0</v>
      </c>
      <c r="EU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29"/>
      <c r="O135" s="29"/>
      <c r="P135" s="29"/>
      <c r="Q135" s="29"/>
      <c r="R135" s="29"/>
      <c r="S135" s="29"/>
      <c r="T135" s="30"/>
      <c r="U135" s="75"/>
      <c r="V135" s="75"/>
      <c r="W135" s="25" t="str">
        <f aca="false">IF(Tasks[[#This Row],[Task Name]]="","",IF(N(Tasks[[#This Row],[Baseline Start]])&gt;0,Tasks[[#This Row],[Baseline Start]],Tasks[[#This Row],[_CalcStart]]))</f>
        <v/>
      </c>
      <c r="X135" s="25" t="str">
        <f aca="false">IF(Tasks[[#This Row],[Task Name]]="","",IF(N(Tasks[[#This Row],[Baseline Finish]])&gt;0,Tasks[[#This Row],[Baseline Finish]],Tasks[[#This Row],[_CalcFinish]]))</f>
        <v/>
      </c>
      <c r="Y135" s="75"/>
      <c r="Z135" s="75"/>
      <c r="AA135" s="25" t="str">
        <f aca="false">IF(Tasks[[#This Row],[Task Name]]="","",IF(Tasks[[#This Row],[_IsSummary]],MIN(INDEX(Tasks[_ShownFcstStart],Tasks[[#This Row],[_Row]]+1):INDEX(Tasks[_ShownFcstStart],Tasks[[#This Row],[_Row]]+Tasks[[#This Row],[_Descendants]])),Tasks[[#This Row],[_ShownFcstStart]]))</f>
        <v/>
      </c>
      <c r="AB135" s="25" t="str">
        <f aca="false">IF(Tasks[[#This Row],[Task Name]]="","",IF(Tasks[[#This Row],[_IsSummary]],MAX(INDEX(Tasks[_ShownFcstFinish],Tasks[[#This Row],[_Row]]+1):INDEX(Tasks[_ShownFcstFinish],Tasks[[#This Row],[_Row]]+Tasks[[#This Row],[_Descendants]])),Tasks[[#This Row],[_ShownFcstFinish]]))</f>
        <v/>
      </c>
      <c r="AC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5" s="25" t="str">
        <f aca="false">IF(Tasks[[#This Row],[Task Name]]="","",IF(Tasks[[#This Row],[_IsSummary]],MIN(INDEX(Tasks[_LeafLateStart],Tasks[[#This Row],[_Row]]+1):INDEX(Tasks[_LeafLateStart],Tasks[[#This Row],[_Row]]+Tasks[[#This Row],[_Descendants]])),Tasks[[#This Row],[_LeafLateStart]]))</f>
        <v/>
      </c>
      <c r="AF135" s="25" t="str">
        <f aca="false">IF(Tasks[[#This Row],[Task Name]]="","",IF(Tasks[[#This Row],[_IsSummary]],MAX(INDEX(Tasks[_LeafLateFinish],Tasks[[#This Row],[_Row]]+1):INDEX(Tasks[_LeafLateFinish],Tasks[[#This Row],[_Row]]+Tasks[[#This Row],[_Descendants]])),Tasks[[#This Row],[_LeafLateFinish]]))</f>
        <v/>
      </c>
      <c r="AG135" s="28" t="str">
        <f aca="false">IF(Tasks[[#This Row],[Task Name]]="","",IF(Tasks[[#This Row],[_IsSummary]],MIN(INDEX(Tasks[_LeafTotalSlack],Tasks[[#This Row],[_Row]]+1):INDEX(Tasks[_LeafTotalSlack],Tasks[[#This Row],[_Row]]+Tasks[[#This Row],[_Descendants]])),Tasks[[#This Row],[_LeafTotalSlack]]))</f>
        <v/>
      </c>
      <c r="AH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5" s="28" t="str">
        <f aca="false">IF(Tasks[[#This Row],[Task Name]]="","",IF(IF(Tasks[[#This Row],[_IsSummary]],COUNTIF(INDEX(Tasks[_LeafCritical],Tasks[[#This Row],[_Row]]+1):INDEX(Tasks[_LeafCritical],Tasks[[#This Row],[_Row]]+Tasks[[#This Row],[_Descendants]]),TRUE())&gt;0,Tasks[[#This Row],[_LeafCritical]]),"Yes",""))</f>
        <v/>
      </c>
      <c r="AJ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5" s="89"/>
      <c r="AM1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5" s="28" t="str">
        <f aca="false">IF(Tasks[[#This Row],[Task Name]]="","",IF(Tasks[[#This Row],[Progress]]&gt;=1,"Complete",IF(OR(N(Tasks[[#This Row],[Actual Start]])&gt;0,Tasks[[#This Row],[Progress]]&gt;0),IF(Tasks[[#This Row],[Finish Var]]&gt;0,"Behind","In Progress"),IF(Tasks[[#This Row],[Planned Start]]&lt;StatusDate,"Late Start","Not Started"))))</f>
        <v/>
      </c>
      <c r="AO135" s="30"/>
      <c r="AP135" s="89"/>
      <c r="AQ1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5" s="96" t="str">
        <f aca="false">IF(Tasks[[#This Row],[Task Name]]="","",IF(Tasks[[#This Row],[_IsSummary]],SUM(INDEX(Tasks[_LeafTotalWork],Tasks[[#This Row],[_Row]]+1):INDEX(Tasks[_LeafTotalWork],Tasks[[#This Row],[_Row]]+Tasks[[#This Row],[_Descendants]])),Tasks[[#This Row],[_LeafTotalWork]]))</f>
        <v/>
      </c>
      <c r="AT135" s="97" t="str">
        <f aca="false">IF(Tasks[[#This Row],[Task Name]]="","",IF(Tasks[[#This Row],[_IsSummary]],SUM(INDEX(Tasks[_LeafTotalCost],Tasks[[#This Row],[_Row]]+1):INDEX(Tasks[_LeafTotalCost],Tasks[[#This Row],[_Row]]+Tasks[[#This Row],[_Descendants]])),Tasks[[#This Row],[_LeafTotalCost]]))</f>
        <v/>
      </c>
      <c r="AU135" s="98"/>
      <c r="AV135" s="29"/>
      <c r="AW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5" s="83"/>
      <c r="AY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5" s="30"/>
      <c r="BA135" s="25" t="str">
        <f aca="false">IF(Tasks[[#This Row],[Task Name]]="","",Tasks[[#This Row],[Forecast Start]])</f>
        <v/>
      </c>
      <c r="BB135" s="25" t="str">
        <f aca="false">IF(Tasks[[#This Row],[Task Name]]="","",Tasks[[#This Row],[Forecast Finish]])</f>
        <v/>
      </c>
      <c r="BC135" s="28" t="str">
        <f aca="false">IF(Tasks[[#This Row],[Task Name]]="","",IF(Tasks[[#This Row],[_IsSummary]],NETWORKDAYS.INTL(Tasks[[#This Row],[Forecast Start]],Tasks[[#This Row],[Forecast Finish]],WorkWeek,Holidays),N(Tasks[[#This Row],[Duration]])))</f>
        <v/>
      </c>
      <c r="BD135" s="96" t="str">
        <f aca="false">IF(Tasks[[#This Row],[Task Name]]="","",Tasks[[#This Row],[Work]])</f>
        <v/>
      </c>
      <c r="BE135" s="97" t="str">
        <f aca="false">IF(Tasks[[#This Row],[Task Name]]="","",Tasks[[#This Row],[Cost]])</f>
        <v/>
      </c>
      <c r="BF135" s="75"/>
      <c r="BG135" s="75"/>
      <c r="BH135" s="29"/>
      <c r="BI135" s="99"/>
      <c r="BJ135" s="98"/>
      <c r="BK135" s="28" t="str">
        <f aca="false">IF(OR(Tasks[[#This Row],[Task Name]]="",Tasks[[#This Row],[Baseline Duration]]=""),"",Tasks[[#This Row],[BL Source Duration]]-N(Tasks[[#This Row],[Baseline Duration]]))</f>
        <v/>
      </c>
      <c r="BL135" s="96" t="str">
        <f aca="false">IF(OR(Tasks[[#This Row],[Task Name]]="",Tasks[[#This Row],[Baseline Work]]=""),"",Tasks[[#This Row],[Work]]-N(Tasks[[#This Row],[Baseline Work]]))</f>
        <v/>
      </c>
      <c r="BM135" s="97" t="str">
        <f aca="false">IF(OR(Tasks[[#This Row],[Task Name]]="",Tasks[[#This Row],[Baseline Cost]]=""),"",Tasks[[#This Row],[Cost]]-N(Tasks[[#This Row],[Baseline Cost]]))</f>
        <v/>
      </c>
      <c r="BN135" s="97" t="str">
        <f aca="false">IF(Tasks[[#This Row],[Task Name]]="","",IF(Tasks[[#This Row],[_IsSummary]],SUM(INDEX(Tasks[_LeafBudget],Tasks[[#This Row],[_Row]]+1):INDEX(Tasks[_LeafBudget],Tasks[[#This Row],[_Row]]+Tasks[[#This Row],[_Descendants]])),Tasks[[#This Row],[_LeafBudget]]))</f>
        <v/>
      </c>
      <c r="BO135" s="97" t="str">
        <f aca="false">IF(Tasks[[#This Row],[Task Name]]="","",IF(Tasks[[#This Row],[_IsSummary]],SUM(INDEX(Tasks[_LeafPV],Tasks[[#This Row],[_Row]]+1):INDEX(Tasks[_LeafPV],Tasks[[#This Row],[_Row]]+Tasks[[#This Row],[_Descendants]])),Tasks[[#This Row],[_LeafPV]]))</f>
        <v/>
      </c>
      <c r="BP135" s="97" t="str">
        <f aca="false">IF(Tasks[[#This Row],[Task Name]]="","",IF(Tasks[[#This Row],[_IsSummary]],SUM(INDEX(Tasks[_LeafEV],Tasks[[#This Row],[_Row]]+1):INDEX(Tasks[_LeafEV],Tasks[[#This Row],[_Row]]+Tasks[[#This Row],[_Descendants]])),Tasks[[#This Row],[_LeafEV]]))</f>
        <v/>
      </c>
      <c r="BQ135" s="97" t="str">
        <f aca="false">IF(Tasks[[#This Row],[Task Name]]="","",IF(Tasks[[#This Row],[_IsSummary]],SUM(INDEX(Tasks[_LeafAC],Tasks[[#This Row],[_Row]]+1):INDEX(Tasks[_LeafAC],Tasks[[#This Row],[_Row]]+Tasks[[#This Row],[_Descendants]])),Tasks[[#This Row],[_LeafAC]]))</f>
        <v/>
      </c>
      <c r="BR135" s="41" t="str">
        <f aca="false">IF(Tasks[[#This Row],[Task Name]]="","",MAX(1,N(Tasks[[#This Row],[Level]])))</f>
        <v/>
      </c>
      <c r="BS135" s="41" t="n">
        <f aca="false">ROW()-ROW(Tasks[[#Headers],[ID]])</f>
        <v>130</v>
      </c>
      <c r="BT135" s="41" t="n">
        <f aca="false">IF(OR(Tasks[[#This Row],[Task Name]]="",Tasks[[#This Row],[_Level]]&lt;=1),0,IFERROR(LOOKUP(2,1/(Tasks[[#Headers],[_Level]]:Tasks[[#This Row],[_Level]]=Tasks[[#This Row],[_Level]]-1),ROW(Tasks[[#Headers],[_Level]]:Tasks[[#This Row],[_Level]])),0))</f>
        <v>0</v>
      </c>
      <c r="BU135" s="41" t="n">
        <f aca="false">IFERROR(N(INDEX(Tasks[_Level],Tasks[[#This Row],[_Row]]+1)),0)</f>
        <v>0</v>
      </c>
      <c r="BV135" s="100" t="b">
        <f aca="false">AND(Tasks[[#This Row],[Task Name]]&lt;&gt;"",Tasks[[#This Row],[_NextLevel]]&gt;Tasks[[#This Row],[_Level]])</f>
        <v>0</v>
      </c>
      <c r="BW135" s="41" t="n">
        <f aca="false">IF(Tasks[[#This Row],[_IsSummary]],COUNTIF(Tasks[WBS],Tasks[[#This Row],[WBS]]&amp;".*"),0)</f>
        <v>0</v>
      </c>
      <c r="BX135" s="41" t="n">
        <f aca="false">IF(AND(Tasks[[#This Row],[Task Name]]&lt;&gt;"",NOT(Tasks[[#This Row],[_IsSummary]])),1,0)</f>
        <v>0</v>
      </c>
      <c r="BY135" s="41" t="n">
        <f aca="false">IF(N(Tasks[[#This Row],[Pred1 UID]])=0,0,IFERROR(MATCH(Tasks[[#This Row],[Pred1 UID]],Tasks[UID],0),-1))</f>
        <v>0</v>
      </c>
      <c r="BZ135" s="41" t="n">
        <f aca="false">IF(N(Tasks[[#This Row],[Pred2 UID]])=0,0,IFERROR(MATCH(Tasks[[#This Row],[Pred2 UID]],Tasks[UID],0),-1))</f>
        <v>0</v>
      </c>
      <c r="CA135" s="41" t="n">
        <f aca="false">IF(N(Tasks[[#This Row],[Pred3 UID]])=0,0,IFERROR(MATCH(Tasks[[#This Row],[Pred3 UID]],Tasks[UID],0),-1))</f>
        <v>0</v>
      </c>
      <c r="CB135" s="41" t="n">
        <f aca="false">IF(N(Tasks[[#This Row],[Pred4 UID]])=0,0,IFERROR(MATCH(Tasks[[#This Row],[Pred4 UID]],Tasks[UID],0),-1))</f>
        <v>0</v>
      </c>
      <c r="CC1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5" s="101" t="n">
        <f aca="false">IF(OR(Tasks[[#This Row],[_ConstraintCode]]=2,Tasks[[#This Row],[_ConstraintCode]]=3,Tasks[[#This Row],[_ConstraintCode]]=4,Tasks[[#This Row],[_ConstraintCode]]=6),Tasks[[#This Row],[_ConstraintStart]],0)</f>
        <v>0</v>
      </c>
      <c r="CF135" s="101" t="n">
        <f aca="false">IF(OR(Tasks[[#This Row],[_ConstraintCode]]=2,Tasks[[#This Row],[_ConstraintCode]]=3,Tasks[[#This Row],[_ConstraintCode]]=5,Tasks[[#This Row],[_ConstraintCode]]=7),Tasks[[#This Row],[_ConstraintStart]],2958465)</f>
        <v>2958465</v>
      </c>
      <c r="CG13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5" s="101" t="str">
        <f aca="false">IF(NOT(Tasks[[#This Row],[_IsLeaf]]=1),"",IF(N(Tasks[[#This Row],[Duration]])&lt;=0,Tasks[[#This Row],[_LeafCalcStart]],WORKDAY.INTL(Tasks[[#This Row],[_LeafCalcStart]],Tasks[[#This Row],[Duration]]-1,WorkWeek,Holidays)))</f>
        <v/>
      </c>
      <c r="CI13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5" s="41" t="n">
        <f aca="false">IF(NOT(Tasks[[#This Row],[_IsLeaf]]=1),0,IF(N(Tasks[[#This Row],[Actual Finish]])&gt;0,1,MIN(1,N(Tasks[[#This Row],[% Complete]]))))</f>
        <v>0</v>
      </c>
      <c r="CL135" s="41" t="n">
        <f aca="false">IF(OR(NOT(Tasks[[#This Row],[_IsLeaf]]=1),Tasks[[#This Row],[Resource]]=""),0,N(Tasks[[#This Row],[Duration]])*HoursPerDay*IF(Tasks[[#This Row],[Units]]="",DefaultUnits,Tasks[[#This Row],[Units]]))</f>
        <v>0</v>
      </c>
      <c r="CM135" s="41" t="n">
        <f aca="false">IF(Tasks[[#This Row],[_LeafWork]]=0,0,Tasks[[#This Row],[_LeafWork]]*IFERROR(INDEX(res_Rate,MATCH(Tasks[[#This Row],[Resource]],res_Name,0)),0))</f>
        <v>0</v>
      </c>
      <c r="CN135" s="41" t="n">
        <f aca="false">Tasks[[#This Row],[_LeafWork]]+IF(Tasks[[#This Row],[_IsLeaf]]=1,SUMIFS(asg_Work,asg_TaskUID,Tasks[[#This Row],[UID]],asg_Valid,1),0)</f>
        <v>0</v>
      </c>
      <c r="CO135" s="41" t="n">
        <f aca="false">Tasks[[#This Row],[_LeafCost]]+IF(Tasks[[#This Row],[_IsLeaf]]=1,SUMIFS(asg_Cost,asg_TaskUID,Tasks[[#This Row],[UID]],asg_Valid,1),0)</f>
        <v>0</v>
      </c>
      <c r="CP135" s="41" t="n">
        <f aca="false">IF(Tasks[[#This Row],[_LeafTotalCost]]=0,Tasks[[#This Row],[_LeafAC]],Tasks[[#This Row],[_LeafAC]]*Tasks[[#This Row],[_LeafCost]]/Tasks[[#This Row],[_LeafTotalCost]])</f>
        <v>0</v>
      </c>
      <c r="CQ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5" s="41" t="n">
        <f aca="false">IF(NOT(Tasks[[#This Row],[_IsLeaf]]=1),0,MAX(_xlfn.MAXIFS(Tasks[_Row],Tasks[Pred1 UID],Tasks[[#This Row],[UID]]),_xlfn.MAXIFS(Tasks[_Row],Tasks[Pred2 UID],Tasks[[#This Row],[UID]]),_xlfn.MAXIFS(Tasks[_Row],Tasks[Pred3 UID],Tasks[[#This Row],[UID]]),_xlfn.MAXIFS(Tasks[_Row],Tasks[Pred4 UID],Tasks[[#This Row],[UID]])))</f>
        <v>0</v>
      </c>
      <c r="CZ1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5" s="101" t="str">
        <f aca="false">IF(NOT(Tasks[[#This Row],[_IsLeaf]]=1),"",IF(N(Tasks[[#This Row],[Duration]])&lt;=0,Tasks[[#This Row],[_LeafLateFinish]],WORKDAY.INTL(Tasks[[#This Row],[_LeafLateFinish]],-(Tasks[[#This Row],[Duration]]-1),WorkWeek,Holidays)))</f>
        <v/>
      </c>
      <c r="DC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5" s="100" t="b">
        <f aca="false">AND(Tasks[[#This Row],[_IsLeaf]]=1,Tasks[[#This Row],[_LeafProgress]]&lt;1,N(Tasks[[#This Row],[_LeafTotalSlack]])&lt;=CriticalSlackDays)</f>
        <v>0</v>
      </c>
      <c r="DE135" s="41" t="n">
        <f aca="false">IF(AND(Tasks[[#This Row],[_IsLeaf]]=1,Tasks[[#This Row],[_ConstraintCode]]=1,Tasks[[#This Row],[Mode]]&lt;&gt;"Manual",N(Tasks[[#This Row],[Actual Start]])=0),MAX(0,N(Tasks[[#This Row],[Free Slack]])),0)</f>
        <v>0</v>
      </c>
      <c r="DF135" s="101" t="str">
        <f aca="false">IF(NOT(Tasks[[#This Row],[_IsLeaf]]=1),"",IF(Tasks[[#This Row],[_AlapShift]]=0,Tasks[[#This Row],[_LeafCalcStart]],WORKDAY.INTL(Tasks[[#This Row],[_LeafCalcStart]],Tasks[[#This Row],[_AlapShift]],WorkWeek,Holidays)))</f>
        <v/>
      </c>
      <c r="DG135" s="101" t="str">
        <f aca="false">IF(NOT(Tasks[[#This Row],[_IsLeaf]]=1),"",IF(Tasks[[#This Row],[_AlapShift]]=0,Tasks[[#This Row],[_LeafCalcFinish]],WORKDAY.INTL(Tasks[[#This Row],[_LeafCalcFinish]],Tasks[[#This Row],[_AlapShift]],WorkWeek,Holidays)))</f>
        <v/>
      </c>
      <c r="DH135" s="101" t="str">
        <f aca="false">IF(NOT(Tasks[[#This Row],[_IsLeaf]]=1),"",IF(Tasks[[#This Row],[_AlapShift]]=0,Tasks[[#This Row],[_LeafFcstStart]],WORKDAY.INTL(Tasks[[#This Row],[_LeafFcstStart]],Tasks[[#This Row],[_AlapShift]],WorkWeek,Holidays)))</f>
        <v/>
      </c>
      <c r="DI135" s="101" t="str">
        <f aca="false">IF(NOT(Tasks[[#This Row],[_IsLeaf]]=1),"",IF(Tasks[[#This Row],[_AlapShift]]=0,Tasks[[#This Row],[_LeafFcstFinish]],WORKDAY.INTL(Tasks[[#This Row],[_LeafFcstFinish]],Tasks[[#This Row],[_AlapShift]],WorkWeek,Holidays)))</f>
        <v/>
      </c>
      <c r="DJ135" s="101" t="str">
        <f aca="false">IF(Tasks[[#This Row],[Task Name]]="","",IF(Tasks[[#This Row],[_IsSummary]],MIN(INDEX(Tasks[_ShownCalcStart],Tasks[[#This Row],[_Row]]+1):INDEX(Tasks[_ShownCalcStart],Tasks[[#This Row],[_Row]]+Tasks[[#This Row],[_Descendants]])),Tasks[[#This Row],[_ShownCalcStart]]))</f>
        <v/>
      </c>
      <c r="DK135" s="101" t="str">
        <f aca="false">IF(Tasks[[#This Row],[Task Name]]="","",IF(Tasks[[#This Row],[_IsSummary]],MAX(INDEX(Tasks[_ShownCalcFinish],Tasks[[#This Row],[_Row]]+1):INDEX(Tasks[_ShownCalcFinish],Tasks[[#This Row],[_Row]]+Tasks[[#This Row],[_Descendants]])),Tasks[[#This Row],[_ShownCalcFinish]]))</f>
        <v/>
      </c>
      <c r="D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5" s="41" t="n">
        <f aca="false">IF(AND(Tasks[[#This Row],[_IsLeaf]]=1,Tasks[[#This Row],[_LeafTotalWork]]&gt;0),NETWORKDAYS.INTL(ProjectStart,Tasks[[#This Row],[_ShownFcstStart]],WorkWeek,Holidays),0)</f>
        <v>0</v>
      </c>
      <c r="DY135" s="41" t="n">
        <f aca="false">IF(AND(Tasks[[#This Row],[_IsLeaf]]=1,Tasks[[#This Row],[_LeafTotalWork]]&gt;0),MAX(Tasks[[#This Row],[_StartWorkday]],NETWORKDAYS.INTL(ProjectStart,Tasks[[#This Row],[_ShownFcstFinish]],WorkWeek,Holidays)),0)</f>
        <v>0</v>
      </c>
      <c r="DZ135" s="41" t="n">
        <f aca="false">IF(AND(Tasks[[#This Row],[_IsLeaf]]=1,Tasks[[#This Row],[_LeafTotalWork]]&gt;0),Tasks[[#This Row],[_LeafWork]]/(Tasks[[#This Row],[_FinishWorkday]]-Tasks[[#This Row],[_StartWorkday]]+1),0)</f>
        <v>0</v>
      </c>
      <c r="EA135" s="41" t="n">
        <f aca="false">Tasks[[#This Row],[_WorkPerWorkday]]*(Tasks[[#This Row],[_StartWorkday]]-1)</f>
        <v>-0</v>
      </c>
      <c r="EB135" s="41" t="n">
        <f aca="false">IF(Tasks[[#This Row],[_IsLeaf]]=1,MAX(N(Tasks[[#This Row],[Duration]]),0.1),0)</f>
        <v>0</v>
      </c>
      <c r="EC135" s="41" t="n">
        <f aca="false">Tasks[[#This Row],[_WeightDur]]*Tasks[[#This Row],[_LeafProgress]]</f>
        <v>0</v>
      </c>
      <c r="ED1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5" s="41" t="str">
        <f aca="false">IF(AND(Tasks[[#This Row],[_IsLeaf]]=1,N(Tasks[[#This Row],[Duration]])=0,Tasks[[#This Row],[_LeafProgress]]&lt;1),Tasks[[#This Row],[_ShownFcstFinish]]+Tasks[[#This Row],[_Row]]/100000,"")</f>
        <v/>
      </c>
      <c r="EF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5" s="41" t="n">
        <f aca="false">IF(NOT(Tasks[[#This Row],[_IsLeaf]]=1),0,IF(Tasks[[#This Row],[Baseline Cost]]="",Tasks[[#This Row],[_LeafTotalCost]],N(Tasks[[#This Row],[Baseline Cost]])))</f>
        <v>0</v>
      </c>
      <c r="EH135" s="41" t="n">
        <f aca="false">Tasks[[#This Row],[_LeafBudget]]*Tasks[[#This Row],[_PlannedPct]]</f>
        <v>0</v>
      </c>
      <c r="EI135" s="41" t="n">
        <f aca="false">Tasks[[#This Row],[_LeafBudget]]*Tasks[[#This Row],[_LeafProgress]]</f>
        <v>0</v>
      </c>
      <c r="EJ135" s="41" t="n">
        <f aca="false">IF(NOT(Tasks[[#This Row],[_IsLeaf]]=1),0,IF(Tasks[[#This Row],[Actual Cost]]="",Tasks[[#This Row],[_LeafTotalCost]]*Tasks[[#This Row],[_LeafProgress]],N(Tasks[[#This Row],[Actual Cost]])))</f>
        <v>0</v>
      </c>
      <c r="EK135" s="41" t="str">
        <f aca="false">IF(Tasks[[#This Row],[Task Name]]="","",LEFT(Tasks[[#This Row],[WBS]],FIND(".",Tasks[[#This Row],[WBS]]&amp;".")-1))</f>
        <v/>
      </c>
      <c r="EL135" s="41" t="str">
        <f aca="false">IF(AND(Tasks[[#This Row],[Task Name]]&lt;&gt;"",Tasks[[#This Row],[_Level]]=1),Tasks[[#This Row],[_Row]],"")</f>
        <v/>
      </c>
      <c r="EM135" s="41" t="str">
        <f aca="false">IF(AND(Tasks[[#This Row],[_IsLeaf]]=1,N(Tasks[[#This Row],[Duration]])=0),Tasks[[#This Row],[Planned Finish]]+Tasks[[#This Row],[_Row]]/100000,"")</f>
        <v/>
      </c>
      <c r="EN135" s="41" t="str">
        <f aca="false">IF(AND(Tasks[[#This Row],[_IsLeaf]]=1,Tasks[[#This Row],[_LeafProgress]]&lt;1,OR(N(Tasks[[#This Row],[Finish Var]])&gt;0,Tasks[[#This Row],[Status]]="Late Start")),MAX(0,Tasks[[#This Row],[Finish Var]])+1-Tasks[[#This Row],[_Row]]/1000000,"")</f>
        <v/>
      </c>
      <c r="EO135" s="41" t="str">
        <f aca="false">IF(AND(Tasks[[#This Row],[_IsLeaf]]=1,N(Tasks[[#This Row],[Actual Start]])=0,Tasks[[#This Row],[_ShownFcstStart]]&gt;=StatusDate,Tasks[[#This Row],[_ShownFcstStart]]&lt;=LookaheadEnd),Tasks[[#This Row],[_ShownFcstStart]]+Tasks[[#This Row],[_Row]]/100000,"")</f>
        <v/>
      </c>
      <c r="EP135" s="41" t="str">
        <f aca="false">IF(AND(Tasks[[#This Row],[_IsLeaf]]=1,Tasks[[#This Row],[_LeafProgress]]&lt;1,Tasks[[#This Row],[_ShownFcstFinish]]&gt;=StatusDate,Tasks[[#This Row],[_ShownFcstFinish]]&lt;=LookaheadEnd),Tasks[[#This Row],[_ShownFcstFinish]]+Tasks[[#This Row],[_Row]]/100000,"")</f>
        <v/>
      </c>
      <c r="EQ135" s="41" t="str">
        <f aca="false">IF(Tasks[[#This Row],[_LeafCritical]],Tasks[[#This Row],[_ShownFcstStart]]+Tasks[[#This Row],[_Row]]/100000,"")</f>
        <v/>
      </c>
      <c r="ER135" s="41" t="n">
        <f aca="false">Tasks[[#This Row],[_LeafWork]]*Tasks[[#This Row],[_LeafProgress]]</f>
        <v>0</v>
      </c>
      <c r="ES135" s="101" t="str">
        <f aca="false">IF(AND(Tasks[[#This Row],[_IsLeaf]]=1,Tasks[[#This Row],[_LeafProgress]]&gt;=1),IF(N(Tasks[[#This Row],[Actual Finish]])&gt;0,Tasks[[#This Row],[Actual Finish]],Tasks[[#This Row],[_ShownFcstFinish]]),"")</f>
        <v/>
      </c>
      <c r="ET135" s="41" t="n">
        <f aca="false">IF(Tasks[[#This Row],[_IsLeaf]]=1,N(Tasks[[#This Row],[Story Points]]),0)</f>
        <v>0</v>
      </c>
      <c r="EU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29"/>
      <c r="O136" s="29"/>
      <c r="P136" s="29"/>
      <c r="Q136" s="29"/>
      <c r="R136" s="29"/>
      <c r="S136" s="29"/>
      <c r="T136" s="30"/>
      <c r="U136" s="75"/>
      <c r="V136" s="75"/>
      <c r="W136" s="25" t="str">
        <f aca="false">IF(Tasks[[#This Row],[Task Name]]="","",IF(N(Tasks[[#This Row],[Baseline Start]])&gt;0,Tasks[[#This Row],[Baseline Start]],Tasks[[#This Row],[_CalcStart]]))</f>
        <v/>
      </c>
      <c r="X136" s="25" t="str">
        <f aca="false">IF(Tasks[[#This Row],[Task Name]]="","",IF(N(Tasks[[#This Row],[Baseline Finish]])&gt;0,Tasks[[#This Row],[Baseline Finish]],Tasks[[#This Row],[_CalcFinish]]))</f>
        <v/>
      </c>
      <c r="Y136" s="75"/>
      <c r="Z136" s="75"/>
      <c r="AA136" s="25" t="str">
        <f aca="false">IF(Tasks[[#This Row],[Task Name]]="","",IF(Tasks[[#This Row],[_IsSummary]],MIN(INDEX(Tasks[_ShownFcstStart],Tasks[[#This Row],[_Row]]+1):INDEX(Tasks[_ShownFcstStart],Tasks[[#This Row],[_Row]]+Tasks[[#This Row],[_Descendants]])),Tasks[[#This Row],[_ShownFcstStart]]))</f>
        <v/>
      </c>
      <c r="AB136" s="25" t="str">
        <f aca="false">IF(Tasks[[#This Row],[Task Name]]="","",IF(Tasks[[#This Row],[_IsSummary]],MAX(INDEX(Tasks[_ShownFcstFinish],Tasks[[#This Row],[_Row]]+1):INDEX(Tasks[_ShownFcstFinish],Tasks[[#This Row],[_Row]]+Tasks[[#This Row],[_Descendants]])),Tasks[[#This Row],[_ShownFcstFinish]]))</f>
        <v/>
      </c>
      <c r="AC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6" s="25" t="str">
        <f aca="false">IF(Tasks[[#This Row],[Task Name]]="","",IF(Tasks[[#This Row],[_IsSummary]],MIN(INDEX(Tasks[_LeafLateStart],Tasks[[#This Row],[_Row]]+1):INDEX(Tasks[_LeafLateStart],Tasks[[#This Row],[_Row]]+Tasks[[#This Row],[_Descendants]])),Tasks[[#This Row],[_LeafLateStart]]))</f>
        <v/>
      </c>
      <c r="AF136" s="25" t="str">
        <f aca="false">IF(Tasks[[#This Row],[Task Name]]="","",IF(Tasks[[#This Row],[_IsSummary]],MAX(INDEX(Tasks[_LeafLateFinish],Tasks[[#This Row],[_Row]]+1):INDEX(Tasks[_LeafLateFinish],Tasks[[#This Row],[_Row]]+Tasks[[#This Row],[_Descendants]])),Tasks[[#This Row],[_LeafLateFinish]]))</f>
        <v/>
      </c>
      <c r="AG136" s="28" t="str">
        <f aca="false">IF(Tasks[[#This Row],[Task Name]]="","",IF(Tasks[[#This Row],[_IsSummary]],MIN(INDEX(Tasks[_LeafTotalSlack],Tasks[[#This Row],[_Row]]+1):INDEX(Tasks[_LeafTotalSlack],Tasks[[#This Row],[_Row]]+Tasks[[#This Row],[_Descendants]])),Tasks[[#This Row],[_LeafTotalSlack]]))</f>
        <v/>
      </c>
      <c r="AH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6" s="28" t="str">
        <f aca="false">IF(Tasks[[#This Row],[Task Name]]="","",IF(IF(Tasks[[#This Row],[_IsSummary]],COUNTIF(INDEX(Tasks[_LeafCritical],Tasks[[#This Row],[_Row]]+1):INDEX(Tasks[_LeafCritical],Tasks[[#This Row],[_Row]]+Tasks[[#This Row],[_Descendants]]),TRUE())&gt;0,Tasks[[#This Row],[_LeafCritical]]),"Yes",""))</f>
        <v/>
      </c>
      <c r="AJ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6" s="89"/>
      <c r="AM1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6" s="28" t="str">
        <f aca="false">IF(Tasks[[#This Row],[Task Name]]="","",IF(Tasks[[#This Row],[Progress]]&gt;=1,"Complete",IF(OR(N(Tasks[[#This Row],[Actual Start]])&gt;0,Tasks[[#This Row],[Progress]]&gt;0),IF(Tasks[[#This Row],[Finish Var]]&gt;0,"Behind","In Progress"),IF(Tasks[[#This Row],[Planned Start]]&lt;StatusDate,"Late Start","Not Started"))))</f>
        <v/>
      </c>
      <c r="AO136" s="30"/>
      <c r="AP136" s="89"/>
      <c r="AQ1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6" s="96" t="str">
        <f aca="false">IF(Tasks[[#This Row],[Task Name]]="","",IF(Tasks[[#This Row],[_IsSummary]],SUM(INDEX(Tasks[_LeafTotalWork],Tasks[[#This Row],[_Row]]+1):INDEX(Tasks[_LeafTotalWork],Tasks[[#This Row],[_Row]]+Tasks[[#This Row],[_Descendants]])),Tasks[[#This Row],[_LeafTotalWork]]))</f>
        <v/>
      </c>
      <c r="AT136" s="97" t="str">
        <f aca="false">IF(Tasks[[#This Row],[Task Name]]="","",IF(Tasks[[#This Row],[_IsSummary]],SUM(INDEX(Tasks[_LeafTotalCost],Tasks[[#This Row],[_Row]]+1):INDEX(Tasks[_LeafTotalCost],Tasks[[#This Row],[_Row]]+Tasks[[#This Row],[_Descendants]])),Tasks[[#This Row],[_LeafTotalCost]]))</f>
        <v/>
      </c>
      <c r="AU136" s="98"/>
      <c r="AV136" s="29"/>
      <c r="AW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6" s="83"/>
      <c r="AY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6" s="30"/>
      <c r="BA136" s="25" t="str">
        <f aca="false">IF(Tasks[[#This Row],[Task Name]]="","",Tasks[[#This Row],[Forecast Start]])</f>
        <v/>
      </c>
      <c r="BB136" s="25" t="str">
        <f aca="false">IF(Tasks[[#This Row],[Task Name]]="","",Tasks[[#This Row],[Forecast Finish]])</f>
        <v/>
      </c>
      <c r="BC136" s="28" t="str">
        <f aca="false">IF(Tasks[[#This Row],[Task Name]]="","",IF(Tasks[[#This Row],[_IsSummary]],NETWORKDAYS.INTL(Tasks[[#This Row],[Forecast Start]],Tasks[[#This Row],[Forecast Finish]],WorkWeek,Holidays),N(Tasks[[#This Row],[Duration]])))</f>
        <v/>
      </c>
      <c r="BD136" s="96" t="str">
        <f aca="false">IF(Tasks[[#This Row],[Task Name]]="","",Tasks[[#This Row],[Work]])</f>
        <v/>
      </c>
      <c r="BE136" s="97" t="str">
        <f aca="false">IF(Tasks[[#This Row],[Task Name]]="","",Tasks[[#This Row],[Cost]])</f>
        <v/>
      </c>
      <c r="BF136" s="75"/>
      <c r="BG136" s="75"/>
      <c r="BH136" s="29"/>
      <c r="BI136" s="99"/>
      <c r="BJ136" s="98"/>
      <c r="BK136" s="28" t="str">
        <f aca="false">IF(OR(Tasks[[#This Row],[Task Name]]="",Tasks[[#This Row],[Baseline Duration]]=""),"",Tasks[[#This Row],[BL Source Duration]]-N(Tasks[[#This Row],[Baseline Duration]]))</f>
        <v/>
      </c>
      <c r="BL136" s="96" t="str">
        <f aca="false">IF(OR(Tasks[[#This Row],[Task Name]]="",Tasks[[#This Row],[Baseline Work]]=""),"",Tasks[[#This Row],[Work]]-N(Tasks[[#This Row],[Baseline Work]]))</f>
        <v/>
      </c>
      <c r="BM136" s="97" t="str">
        <f aca="false">IF(OR(Tasks[[#This Row],[Task Name]]="",Tasks[[#This Row],[Baseline Cost]]=""),"",Tasks[[#This Row],[Cost]]-N(Tasks[[#This Row],[Baseline Cost]]))</f>
        <v/>
      </c>
      <c r="BN136" s="97" t="str">
        <f aca="false">IF(Tasks[[#This Row],[Task Name]]="","",IF(Tasks[[#This Row],[_IsSummary]],SUM(INDEX(Tasks[_LeafBudget],Tasks[[#This Row],[_Row]]+1):INDEX(Tasks[_LeafBudget],Tasks[[#This Row],[_Row]]+Tasks[[#This Row],[_Descendants]])),Tasks[[#This Row],[_LeafBudget]]))</f>
        <v/>
      </c>
      <c r="BO136" s="97" t="str">
        <f aca="false">IF(Tasks[[#This Row],[Task Name]]="","",IF(Tasks[[#This Row],[_IsSummary]],SUM(INDEX(Tasks[_LeafPV],Tasks[[#This Row],[_Row]]+1):INDEX(Tasks[_LeafPV],Tasks[[#This Row],[_Row]]+Tasks[[#This Row],[_Descendants]])),Tasks[[#This Row],[_LeafPV]]))</f>
        <v/>
      </c>
      <c r="BP136" s="97" t="str">
        <f aca="false">IF(Tasks[[#This Row],[Task Name]]="","",IF(Tasks[[#This Row],[_IsSummary]],SUM(INDEX(Tasks[_LeafEV],Tasks[[#This Row],[_Row]]+1):INDEX(Tasks[_LeafEV],Tasks[[#This Row],[_Row]]+Tasks[[#This Row],[_Descendants]])),Tasks[[#This Row],[_LeafEV]]))</f>
        <v/>
      </c>
      <c r="BQ136" s="97" t="str">
        <f aca="false">IF(Tasks[[#This Row],[Task Name]]="","",IF(Tasks[[#This Row],[_IsSummary]],SUM(INDEX(Tasks[_LeafAC],Tasks[[#This Row],[_Row]]+1):INDEX(Tasks[_LeafAC],Tasks[[#This Row],[_Row]]+Tasks[[#This Row],[_Descendants]])),Tasks[[#This Row],[_LeafAC]]))</f>
        <v/>
      </c>
      <c r="BR136" s="41" t="str">
        <f aca="false">IF(Tasks[[#This Row],[Task Name]]="","",MAX(1,N(Tasks[[#This Row],[Level]])))</f>
        <v/>
      </c>
      <c r="BS136" s="41" t="n">
        <f aca="false">ROW()-ROW(Tasks[[#Headers],[ID]])</f>
        <v>131</v>
      </c>
      <c r="BT136" s="41" t="n">
        <f aca="false">IF(OR(Tasks[[#This Row],[Task Name]]="",Tasks[[#This Row],[_Level]]&lt;=1),0,IFERROR(LOOKUP(2,1/(Tasks[[#Headers],[_Level]]:Tasks[[#This Row],[_Level]]=Tasks[[#This Row],[_Level]]-1),ROW(Tasks[[#Headers],[_Level]]:Tasks[[#This Row],[_Level]])),0))</f>
        <v>0</v>
      </c>
      <c r="BU136" s="41" t="n">
        <f aca="false">IFERROR(N(INDEX(Tasks[_Level],Tasks[[#This Row],[_Row]]+1)),0)</f>
        <v>0</v>
      </c>
      <c r="BV136" s="100" t="b">
        <f aca="false">AND(Tasks[[#This Row],[Task Name]]&lt;&gt;"",Tasks[[#This Row],[_NextLevel]]&gt;Tasks[[#This Row],[_Level]])</f>
        <v>0</v>
      </c>
      <c r="BW136" s="41" t="n">
        <f aca="false">IF(Tasks[[#This Row],[_IsSummary]],COUNTIF(Tasks[WBS],Tasks[[#This Row],[WBS]]&amp;".*"),0)</f>
        <v>0</v>
      </c>
      <c r="BX136" s="41" t="n">
        <f aca="false">IF(AND(Tasks[[#This Row],[Task Name]]&lt;&gt;"",NOT(Tasks[[#This Row],[_IsSummary]])),1,0)</f>
        <v>0</v>
      </c>
      <c r="BY136" s="41" t="n">
        <f aca="false">IF(N(Tasks[[#This Row],[Pred1 UID]])=0,0,IFERROR(MATCH(Tasks[[#This Row],[Pred1 UID]],Tasks[UID],0),-1))</f>
        <v>0</v>
      </c>
      <c r="BZ136" s="41" t="n">
        <f aca="false">IF(N(Tasks[[#This Row],[Pred2 UID]])=0,0,IFERROR(MATCH(Tasks[[#This Row],[Pred2 UID]],Tasks[UID],0),-1))</f>
        <v>0</v>
      </c>
      <c r="CA136" s="41" t="n">
        <f aca="false">IF(N(Tasks[[#This Row],[Pred3 UID]])=0,0,IFERROR(MATCH(Tasks[[#This Row],[Pred3 UID]],Tasks[UID],0),-1))</f>
        <v>0</v>
      </c>
      <c r="CB136" s="41" t="n">
        <f aca="false">IF(N(Tasks[[#This Row],[Pred4 UID]])=0,0,IFERROR(MATCH(Tasks[[#This Row],[Pred4 UID]],Tasks[UID],0),-1))</f>
        <v>0</v>
      </c>
      <c r="CC1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6" s="101" t="n">
        <f aca="false">IF(OR(Tasks[[#This Row],[_ConstraintCode]]=2,Tasks[[#This Row],[_ConstraintCode]]=3,Tasks[[#This Row],[_ConstraintCode]]=4,Tasks[[#This Row],[_ConstraintCode]]=6),Tasks[[#This Row],[_ConstraintStart]],0)</f>
        <v>0</v>
      </c>
      <c r="CF136" s="101" t="n">
        <f aca="false">IF(OR(Tasks[[#This Row],[_ConstraintCode]]=2,Tasks[[#This Row],[_ConstraintCode]]=3,Tasks[[#This Row],[_ConstraintCode]]=5,Tasks[[#This Row],[_ConstraintCode]]=7),Tasks[[#This Row],[_ConstraintStart]],2958465)</f>
        <v>2958465</v>
      </c>
      <c r="CG13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6" s="101" t="str">
        <f aca="false">IF(NOT(Tasks[[#This Row],[_IsLeaf]]=1),"",IF(N(Tasks[[#This Row],[Duration]])&lt;=0,Tasks[[#This Row],[_LeafCalcStart]],WORKDAY.INTL(Tasks[[#This Row],[_LeafCalcStart]],Tasks[[#This Row],[Duration]]-1,WorkWeek,Holidays)))</f>
        <v/>
      </c>
      <c r="CI13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6" s="41" t="n">
        <f aca="false">IF(NOT(Tasks[[#This Row],[_IsLeaf]]=1),0,IF(N(Tasks[[#This Row],[Actual Finish]])&gt;0,1,MIN(1,N(Tasks[[#This Row],[% Complete]]))))</f>
        <v>0</v>
      </c>
      <c r="CL136" s="41" t="n">
        <f aca="false">IF(OR(NOT(Tasks[[#This Row],[_IsLeaf]]=1),Tasks[[#This Row],[Resource]]=""),0,N(Tasks[[#This Row],[Duration]])*HoursPerDay*IF(Tasks[[#This Row],[Units]]="",DefaultUnits,Tasks[[#This Row],[Units]]))</f>
        <v>0</v>
      </c>
      <c r="CM136" s="41" t="n">
        <f aca="false">IF(Tasks[[#This Row],[_LeafWork]]=0,0,Tasks[[#This Row],[_LeafWork]]*IFERROR(INDEX(res_Rate,MATCH(Tasks[[#This Row],[Resource]],res_Name,0)),0))</f>
        <v>0</v>
      </c>
      <c r="CN136" s="41" t="n">
        <f aca="false">Tasks[[#This Row],[_LeafWork]]+IF(Tasks[[#This Row],[_IsLeaf]]=1,SUMIFS(asg_Work,asg_TaskUID,Tasks[[#This Row],[UID]],asg_Valid,1),0)</f>
        <v>0</v>
      </c>
      <c r="CO136" s="41" t="n">
        <f aca="false">Tasks[[#This Row],[_LeafCost]]+IF(Tasks[[#This Row],[_IsLeaf]]=1,SUMIFS(asg_Cost,asg_TaskUID,Tasks[[#This Row],[UID]],asg_Valid,1),0)</f>
        <v>0</v>
      </c>
      <c r="CP136" s="41" t="n">
        <f aca="false">IF(Tasks[[#This Row],[_LeafTotalCost]]=0,Tasks[[#This Row],[_LeafAC]],Tasks[[#This Row],[_LeafAC]]*Tasks[[#This Row],[_LeafCost]]/Tasks[[#This Row],[_LeafTotalCost]])</f>
        <v>0</v>
      </c>
      <c r="CQ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6" s="41" t="n">
        <f aca="false">IF(NOT(Tasks[[#This Row],[_IsLeaf]]=1),0,MAX(_xlfn.MAXIFS(Tasks[_Row],Tasks[Pred1 UID],Tasks[[#This Row],[UID]]),_xlfn.MAXIFS(Tasks[_Row],Tasks[Pred2 UID],Tasks[[#This Row],[UID]]),_xlfn.MAXIFS(Tasks[_Row],Tasks[Pred3 UID],Tasks[[#This Row],[UID]]),_xlfn.MAXIFS(Tasks[_Row],Tasks[Pred4 UID],Tasks[[#This Row],[UID]])))</f>
        <v>0</v>
      </c>
      <c r="CZ1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6" s="101" t="str">
        <f aca="false">IF(NOT(Tasks[[#This Row],[_IsLeaf]]=1),"",IF(N(Tasks[[#This Row],[Duration]])&lt;=0,Tasks[[#This Row],[_LeafLateFinish]],WORKDAY.INTL(Tasks[[#This Row],[_LeafLateFinish]],-(Tasks[[#This Row],[Duration]]-1),WorkWeek,Holidays)))</f>
        <v/>
      </c>
      <c r="DC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6" s="100" t="b">
        <f aca="false">AND(Tasks[[#This Row],[_IsLeaf]]=1,Tasks[[#This Row],[_LeafProgress]]&lt;1,N(Tasks[[#This Row],[_LeafTotalSlack]])&lt;=CriticalSlackDays)</f>
        <v>0</v>
      </c>
      <c r="DE136" s="41" t="n">
        <f aca="false">IF(AND(Tasks[[#This Row],[_IsLeaf]]=1,Tasks[[#This Row],[_ConstraintCode]]=1,Tasks[[#This Row],[Mode]]&lt;&gt;"Manual",N(Tasks[[#This Row],[Actual Start]])=0),MAX(0,N(Tasks[[#This Row],[Free Slack]])),0)</f>
        <v>0</v>
      </c>
      <c r="DF136" s="101" t="str">
        <f aca="false">IF(NOT(Tasks[[#This Row],[_IsLeaf]]=1),"",IF(Tasks[[#This Row],[_AlapShift]]=0,Tasks[[#This Row],[_LeafCalcStart]],WORKDAY.INTL(Tasks[[#This Row],[_LeafCalcStart]],Tasks[[#This Row],[_AlapShift]],WorkWeek,Holidays)))</f>
        <v/>
      </c>
      <c r="DG136" s="101" t="str">
        <f aca="false">IF(NOT(Tasks[[#This Row],[_IsLeaf]]=1),"",IF(Tasks[[#This Row],[_AlapShift]]=0,Tasks[[#This Row],[_LeafCalcFinish]],WORKDAY.INTL(Tasks[[#This Row],[_LeafCalcFinish]],Tasks[[#This Row],[_AlapShift]],WorkWeek,Holidays)))</f>
        <v/>
      </c>
      <c r="DH136" s="101" t="str">
        <f aca="false">IF(NOT(Tasks[[#This Row],[_IsLeaf]]=1),"",IF(Tasks[[#This Row],[_AlapShift]]=0,Tasks[[#This Row],[_LeafFcstStart]],WORKDAY.INTL(Tasks[[#This Row],[_LeafFcstStart]],Tasks[[#This Row],[_AlapShift]],WorkWeek,Holidays)))</f>
        <v/>
      </c>
      <c r="DI136" s="101" t="str">
        <f aca="false">IF(NOT(Tasks[[#This Row],[_IsLeaf]]=1),"",IF(Tasks[[#This Row],[_AlapShift]]=0,Tasks[[#This Row],[_LeafFcstFinish]],WORKDAY.INTL(Tasks[[#This Row],[_LeafFcstFinish]],Tasks[[#This Row],[_AlapShift]],WorkWeek,Holidays)))</f>
        <v/>
      </c>
      <c r="DJ136" s="101" t="str">
        <f aca="false">IF(Tasks[[#This Row],[Task Name]]="","",IF(Tasks[[#This Row],[_IsSummary]],MIN(INDEX(Tasks[_ShownCalcStart],Tasks[[#This Row],[_Row]]+1):INDEX(Tasks[_ShownCalcStart],Tasks[[#This Row],[_Row]]+Tasks[[#This Row],[_Descendants]])),Tasks[[#This Row],[_ShownCalcStart]]))</f>
        <v/>
      </c>
      <c r="DK136" s="101" t="str">
        <f aca="false">IF(Tasks[[#This Row],[Task Name]]="","",IF(Tasks[[#This Row],[_IsSummary]],MAX(INDEX(Tasks[_ShownCalcFinish],Tasks[[#This Row],[_Row]]+1):INDEX(Tasks[_ShownCalcFinish],Tasks[[#This Row],[_Row]]+Tasks[[#This Row],[_Descendants]])),Tasks[[#This Row],[_ShownCalcFinish]]))</f>
        <v/>
      </c>
      <c r="D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6" s="41" t="n">
        <f aca="false">IF(AND(Tasks[[#This Row],[_IsLeaf]]=1,Tasks[[#This Row],[_LeafTotalWork]]&gt;0),NETWORKDAYS.INTL(ProjectStart,Tasks[[#This Row],[_ShownFcstStart]],WorkWeek,Holidays),0)</f>
        <v>0</v>
      </c>
      <c r="DY136" s="41" t="n">
        <f aca="false">IF(AND(Tasks[[#This Row],[_IsLeaf]]=1,Tasks[[#This Row],[_LeafTotalWork]]&gt;0),MAX(Tasks[[#This Row],[_StartWorkday]],NETWORKDAYS.INTL(ProjectStart,Tasks[[#This Row],[_ShownFcstFinish]],WorkWeek,Holidays)),0)</f>
        <v>0</v>
      </c>
      <c r="DZ136" s="41" t="n">
        <f aca="false">IF(AND(Tasks[[#This Row],[_IsLeaf]]=1,Tasks[[#This Row],[_LeafTotalWork]]&gt;0),Tasks[[#This Row],[_LeafWork]]/(Tasks[[#This Row],[_FinishWorkday]]-Tasks[[#This Row],[_StartWorkday]]+1),0)</f>
        <v>0</v>
      </c>
      <c r="EA136" s="41" t="n">
        <f aca="false">Tasks[[#This Row],[_WorkPerWorkday]]*(Tasks[[#This Row],[_StartWorkday]]-1)</f>
        <v>-0</v>
      </c>
      <c r="EB136" s="41" t="n">
        <f aca="false">IF(Tasks[[#This Row],[_IsLeaf]]=1,MAX(N(Tasks[[#This Row],[Duration]]),0.1),0)</f>
        <v>0</v>
      </c>
      <c r="EC136" s="41" t="n">
        <f aca="false">Tasks[[#This Row],[_WeightDur]]*Tasks[[#This Row],[_LeafProgress]]</f>
        <v>0</v>
      </c>
      <c r="ED1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6" s="41" t="str">
        <f aca="false">IF(AND(Tasks[[#This Row],[_IsLeaf]]=1,N(Tasks[[#This Row],[Duration]])=0,Tasks[[#This Row],[_LeafProgress]]&lt;1),Tasks[[#This Row],[_ShownFcstFinish]]+Tasks[[#This Row],[_Row]]/100000,"")</f>
        <v/>
      </c>
      <c r="EF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6" s="41" t="n">
        <f aca="false">IF(NOT(Tasks[[#This Row],[_IsLeaf]]=1),0,IF(Tasks[[#This Row],[Baseline Cost]]="",Tasks[[#This Row],[_LeafTotalCost]],N(Tasks[[#This Row],[Baseline Cost]])))</f>
        <v>0</v>
      </c>
      <c r="EH136" s="41" t="n">
        <f aca="false">Tasks[[#This Row],[_LeafBudget]]*Tasks[[#This Row],[_PlannedPct]]</f>
        <v>0</v>
      </c>
      <c r="EI136" s="41" t="n">
        <f aca="false">Tasks[[#This Row],[_LeafBudget]]*Tasks[[#This Row],[_LeafProgress]]</f>
        <v>0</v>
      </c>
      <c r="EJ136" s="41" t="n">
        <f aca="false">IF(NOT(Tasks[[#This Row],[_IsLeaf]]=1),0,IF(Tasks[[#This Row],[Actual Cost]]="",Tasks[[#This Row],[_LeafTotalCost]]*Tasks[[#This Row],[_LeafProgress]],N(Tasks[[#This Row],[Actual Cost]])))</f>
        <v>0</v>
      </c>
      <c r="EK136" s="41" t="str">
        <f aca="false">IF(Tasks[[#This Row],[Task Name]]="","",LEFT(Tasks[[#This Row],[WBS]],FIND(".",Tasks[[#This Row],[WBS]]&amp;".")-1))</f>
        <v/>
      </c>
      <c r="EL136" s="41" t="str">
        <f aca="false">IF(AND(Tasks[[#This Row],[Task Name]]&lt;&gt;"",Tasks[[#This Row],[_Level]]=1),Tasks[[#This Row],[_Row]],"")</f>
        <v/>
      </c>
      <c r="EM136" s="41" t="str">
        <f aca="false">IF(AND(Tasks[[#This Row],[_IsLeaf]]=1,N(Tasks[[#This Row],[Duration]])=0),Tasks[[#This Row],[Planned Finish]]+Tasks[[#This Row],[_Row]]/100000,"")</f>
        <v/>
      </c>
      <c r="EN136" s="41" t="str">
        <f aca="false">IF(AND(Tasks[[#This Row],[_IsLeaf]]=1,Tasks[[#This Row],[_LeafProgress]]&lt;1,OR(N(Tasks[[#This Row],[Finish Var]])&gt;0,Tasks[[#This Row],[Status]]="Late Start")),MAX(0,Tasks[[#This Row],[Finish Var]])+1-Tasks[[#This Row],[_Row]]/1000000,"")</f>
        <v/>
      </c>
      <c r="EO136" s="41" t="str">
        <f aca="false">IF(AND(Tasks[[#This Row],[_IsLeaf]]=1,N(Tasks[[#This Row],[Actual Start]])=0,Tasks[[#This Row],[_ShownFcstStart]]&gt;=StatusDate,Tasks[[#This Row],[_ShownFcstStart]]&lt;=LookaheadEnd),Tasks[[#This Row],[_ShownFcstStart]]+Tasks[[#This Row],[_Row]]/100000,"")</f>
        <v/>
      </c>
      <c r="EP136" s="41" t="str">
        <f aca="false">IF(AND(Tasks[[#This Row],[_IsLeaf]]=1,Tasks[[#This Row],[_LeafProgress]]&lt;1,Tasks[[#This Row],[_ShownFcstFinish]]&gt;=StatusDate,Tasks[[#This Row],[_ShownFcstFinish]]&lt;=LookaheadEnd),Tasks[[#This Row],[_ShownFcstFinish]]+Tasks[[#This Row],[_Row]]/100000,"")</f>
        <v/>
      </c>
      <c r="EQ136" s="41" t="str">
        <f aca="false">IF(Tasks[[#This Row],[_LeafCritical]],Tasks[[#This Row],[_ShownFcstStart]]+Tasks[[#This Row],[_Row]]/100000,"")</f>
        <v/>
      </c>
      <c r="ER136" s="41" t="n">
        <f aca="false">Tasks[[#This Row],[_LeafWork]]*Tasks[[#This Row],[_LeafProgress]]</f>
        <v>0</v>
      </c>
      <c r="ES136" s="101" t="str">
        <f aca="false">IF(AND(Tasks[[#This Row],[_IsLeaf]]=1,Tasks[[#This Row],[_LeafProgress]]&gt;=1),IF(N(Tasks[[#This Row],[Actual Finish]])&gt;0,Tasks[[#This Row],[Actual Finish]],Tasks[[#This Row],[_ShownFcstFinish]]),"")</f>
        <v/>
      </c>
      <c r="ET136" s="41" t="n">
        <f aca="false">IF(Tasks[[#This Row],[_IsLeaf]]=1,N(Tasks[[#This Row],[Story Points]]),0)</f>
        <v>0</v>
      </c>
      <c r="EU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29"/>
      <c r="O137" s="29"/>
      <c r="P137" s="29"/>
      <c r="Q137" s="29"/>
      <c r="R137" s="29"/>
      <c r="S137" s="29"/>
      <c r="T137" s="30"/>
      <c r="U137" s="75"/>
      <c r="V137" s="75"/>
      <c r="W137" s="25" t="str">
        <f aca="false">IF(Tasks[[#This Row],[Task Name]]="","",IF(N(Tasks[[#This Row],[Baseline Start]])&gt;0,Tasks[[#This Row],[Baseline Start]],Tasks[[#This Row],[_CalcStart]]))</f>
        <v/>
      </c>
      <c r="X137" s="25" t="str">
        <f aca="false">IF(Tasks[[#This Row],[Task Name]]="","",IF(N(Tasks[[#This Row],[Baseline Finish]])&gt;0,Tasks[[#This Row],[Baseline Finish]],Tasks[[#This Row],[_CalcFinish]]))</f>
        <v/>
      </c>
      <c r="Y137" s="75"/>
      <c r="Z137" s="75"/>
      <c r="AA137" s="25" t="str">
        <f aca="false">IF(Tasks[[#This Row],[Task Name]]="","",IF(Tasks[[#This Row],[_IsSummary]],MIN(INDEX(Tasks[_ShownFcstStart],Tasks[[#This Row],[_Row]]+1):INDEX(Tasks[_ShownFcstStart],Tasks[[#This Row],[_Row]]+Tasks[[#This Row],[_Descendants]])),Tasks[[#This Row],[_ShownFcstStart]]))</f>
        <v/>
      </c>
      <c r="AB137" s="25" t="str">
        <f aca="false">IF(Tasks[[#This Row],[Task Name]]="","",IF(Tasks[[#This Row],[_IsSummary]],MAX(INDEX(Tasks[_ShownFcstFinish],Tasks[[#This Row],[_Row]]+1):INDEX(Tasks[_ShownFcstFinish],Tasks[[#This Row],[_Row]]+Tasks[[#This Row],[_Descendants]])),Tasks[[#This Row],[_ShownFcstFinish]]))</f>
        <v/>
      </c>
      <c r="AC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7" s="25" t="str">
        <f aca="false">IF(Tasks[[#This Row],[Task Name]]="","",IF(Tasks[[#This Row],[_IsSummary]],MIN(INDEX(Tasks[_LeafLateStart],Tasks[[#This Row],[_Row]]+1):INDEX(Tasks[_LeafLateStart],Tasks[[#This Row],[_Row]]+Tasks[[#This Row],[_Descendants]])),Tasks[[#This Row],[_LeafLateStart]]))</f>
        <v/>
      </c>
      <c r="AF137" s="25" t="str">
        <f aca="false">IF(Tasks[[#This Row],[Task Name]]="","",IF(Tasks[[#This Row],[_IsSummary]],MAX(INDEX(Tasks[_LeafLateFinish],Tasks[[#This Row],[_Row]]+1):INDEX(Tasks[_LeafLateFinish],Tasks[[#This Row],[_Row]]+Tasks[[#This Row],[_Descendants]])),Tasks[[#This Row],[_LeafLateFinish]]))</f>
        <v/>
      </c>
      <c r="AG137" s="28" t="str">
        <f aca="false">IF(Tasks[[#This Row],[Task Name]]="","",IF(Tasks[[#This Row],[_IsSummary]],MIN(INDEX(Tasks[_LeafTotalSlack],Tasks[[#This Row],[_Row]]+1):INDEX(Tasks[_LeafTotalSlack],Tasks[[#This Row],[_Row]]+Tasks[[#This Row],[_Descendants]])),Tasks[[#This Row],[_LeafTotalSlack]]))</f>
        <v/>
      </c>
      <c r="AH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7" s="28" t="str">
        <f aca="false">IF(Tasks[[#This Row],[Task Name]]="","",IF(IF(Tasks[[#This Row],[_IsSummary]],COUNTIF(INDEX(Tasks[_LeafCritical],Tasks[[#This Row],[_Row]]+1):INDEX(Tasks[_LeafCritical],Tasks[[#This Row],[_Row]]+Tasks[[#This Row],[_Descendants]]),TRUE())&gt;0,Tasks[[#This Row],[_LeafCritical]]),"Yes",""))</f>
        <v/>
      </c>
      <c r="AJ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7" s="89"/>
      <c r="AM1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7" s="28" t="str">
        <f aca="false">IF(Tasks[[#This Row],[Task Name]]="","",IF(Tasks[[#This Row],[Progress]]&gt;=1,"Complete",IF(OR(N(Tasks[[#This Row],[Actual Start]])&gt;0,Tasks[[#This Row],[Progress]]&gt;0),IF(Tasks[[#This Row],[Finish Var]]&gt;0,"Behind","In Progress"),IF(Tasks[[#This Row],[Planned Start]]&lt;StatusDate,"Late Start","Not Started"))))</f>
        <v/>
      </c>
      <c r="AO137" s="30"/>
      <c r="AP137" s="89"/>
      <c r="AQ1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7" s="96" t="str">
        <f aca="false">IF(Tasks[[#This Row],[Task Name]]="","",IF(Tasks[[#This Row],[_IsSummary]],SUM(INDEX(Tasks[_LeafTotalWork],Tasks[[#This Row],[_Row]]+1):INDEX(Tasks[_LeafTotalWork],Tasks[[#This Row],[_Row]]+Tasks[[#This Row],[_Descendants]])),Tasks[[#This Row],[_LeafTotalWork]]))</f>
        <v/>
      </c>
      <c r="AT137" s="97" t="str">
        <f aca="false">IF(Tasks[[#This Row],[Task Name]]="","",IF(Tasks[[#This Row],[_IsSummary]],SUM(INDEX(Tasks[_LeafTotalCost],Tasks[[#This Row],[_Row]]+1):INDEX(Tasks[_LeafTotalCost],Tasks[[#This Row],[_Row]]+Tasks[[#This Row],[_Descendants]])),Tasks[[#This Row],[_LeafTotalCost]]))</f>
        <v/>
      </c>
      <c r="AU137" s="98"/>
      <c r="AV137" s="29"/>
      <c r="AW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7" s="83"/>
      <c r="AY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7" s="30"/>
      <c r="BA137" s="25" t="str">
        <f aca="false">IF(Tasks[[#This Row],[Task Name]]="","",Tasks[[#This Row],[Forecast Start]])</f>
        <v/>
      </c>
      <c r="BB137" s="25" t="str">
        <f aca="false">IF(Tasks[[#This Row],[Task Name]]="","",Tasks[[#This Row],[Forecast Finish]])</f>
        <v/>
      </c>
      <c r="BC137" s="28" t="str">
        <f aca="false">IF(Tasks[[#This Row],[Task Name]]="","",IF(Tasks[[#This Row],[_IsSummary]],NETWORKDAYS.INTL(Tasks[[#This Row],[Forecast Start]],Tasks[[#This Row],[Forecast Finish]],WorkWeek,Holidays),N(Tasks[[#This Row],[Duration]])))</f>
        <v/>
      </c>
      <c r="BD137" s="96" t="str">
        <f aca="false">IF(Tasks[[#This Row],[Task Name]]="","",Tasks[[#This Row],[Work]])</f>
        <v/>
      </c>
      <c r="BE137" s="97" t="str">
        <f aca="false">IF(Tasks[[#This Row],[Task Name]]="","",Tasks[[#This Row],[Cost]])</f>
        <v/>
      </c>
      <c r="BF137" s="75"/>
      <c r="BG137" s="75"/>
      <c r="BH137" s="29"/>
      <c r="BI137" s="99"/>
      <c r="BJ137" s="98"/>
      <c r="BK137" s="28" t="str">
        <f aca="false">IF(OR(Tasks[[#This Row],[Task Name]]="",Tasks[[#This Row],[Baseline Duration]]=""),"",Tasks[[#This Row],[BL Source Duration]]-N(Tasks[[#This Row],[Baseline Duration]]))</f>
        <v/>
      </c>
      <c r="BL137" s="96" t="str">
        <f aca="false">IF(OR(Tasks[[#This Row],[Task Name]]="",Tasks[[#This Row],[Baseline Work]]=""),"",Tasks[[#This Row],[Work]]-N(Tasks[[#This Row],[Baseline Work]]))</f>
        <v/>
      </c>
      <c r="BM137" s="97" t="str">
        <f aca="false">IF(OR(Tasks[[#This Row],[Task Name]]="",Tasks[[#This Row],[Baseline Cost]]=""),"",Tasks[[#This Row],[Cost]]-N(Tasks[[#This Row],[Baseline Cost]]))</f>
        <v/>
      </c>
      <c r="BN137" s="97" t="str">
        <f aca="false">IF(Tasks[[#This Row],[Task Name]]="","",IF(Tasks[[#This Row],[_IsSummary]],SUM(INDEX(Tasks[_LeafBudget],Tasks[[#This Row],[_Row]]+1):INDEX(Tasks[_LeafBudget],Tasks[[#This Row],[_Row]]+Tasks[[#This Row],[_Descendants]])),Tasks[[#This Row],[_LeafBudget]]))</f>
        <v/>
      </c>
      <c r="BO137" s="97" t="str">
        <f aca="false">IF(Tasks[[#This Row],[Task Name]]="","",IF(Tasks[[#This Row],[_IsSummary]],SUM(INDEX(Tasks[_LeafPV],Tasks[[#This Row],[_Row]]+1):INDEX(Tasks[_LeafPV],Tasks[[#This Row],[_Row]]+Tasks[[#This Row],[_Descendants]])),Tasks[[#This Row],[_LeafPV]]))</f>
        <v/>
      </c>
      <c r="BP137" s="97" t="str">
        <f aca="false">IF(Tasks[[#This Row],[Task Name]]="","",IF(Tasks[[#This Row],[_IsSummary]],SUM(INDEX(Tasks[_LeafEV],Tasks[[#This Row],[_Row]]+1):INDEX(Tasks[_LeafEV],Tasks[[#This Row],[_Row]]+Tasks[[#This Row],[_Descendants]])),Tasks[[#This Row],[_LeafEV]]))</f>
        <v/>
      </c>
      <c r="BQ137" s="97" t="str">
        <f aca="false">IF(Tasks[[#This Row],[Task Name]]="","",IF(Tasks[[#This Row],[_IsSummary]],SUM(INDEX(Tasks[_LeafAC],Tasks[[#This Row],[_Row]]+1):INDEX(Tasks[_LeafAC],Tasks[[#This Row],[_Row]]+Tasks[[#This Row],[_Descendants]])),Tasks[[#This Row],[_LeafAC]]))</f>
        <v/>
      </c>
      <c r="BR137" s="41" t="str">
        <f aca="false">IF(Tasks[[#This Row],[Task Name]]="","",MAX(1,N(Tasks[[#This Row],[Level]])))</f>
        <v/>
      </c>
      <c r="BS137" s="41" t="n">
        <f aca="false">ROW()-ROW(Tasks[[#Headers],[ID]])</f>
        <v>132</v>
      </c>
      <c r="BT137" s="41" t="n">
        <f aca="false">IF(OR(Tasks[[#This Row],[Task Name]]="",Tasks[[#This Row],[_Level]]&lt;=1),0,IFERROR(LOOKUP(2,1/(Tasks[[#Headers],[_Level]]:Tasks[[#This Row],[_Level]]=Tasks[[#This Row],[_Level]]-1),ROW(Tasks[[#Headers],[_Level]]:Tasks[[#This Row],[_Level]])),0))</f>
        <v>0</v>
      </c>
      <c r="BU137" s="41" t="n">
        <f aca="false">IFERROR(N(INDEX(Tasks[_Level],Tasks[[#This Row],[_Row]]+1)),0)</f>
        <v>0</v>
      </c>
      <c r="BV137" s="100" t="b">
        <f aca="false">AND(Tasks[[#This Row],[Task Name]]&lt;&gt;"",Tasks[[#This Row],[_NextLevel]]&gt;Tasks[[#This Row],[_Level]])</f>
        <v>0</v>
      </c>
      <c r="BW137" s="41" t="n">
        <f aca="false">IF(Tasks[[#This Row],[_IsSummary]],COUNTIF(Tasks[WBS],Tasks[[#This Row],[WBS]]&amp;".*"),0)</f>
        <v>0</v>
      </c>
      <c r="BX137" s="41" t="n">
        <f aca="false">IF(AND(Tasks[[#This Row],[Task Name]]&lt;&gt;"",NOT(Tasks[[#This Row],[_IsSummary]])),1,0)</f>
        <v>0</v>
      </c>
      <c r="BY137" s="41" t="n">
        <f aca="false">IF(N(Tasks[[#This Row],[Pred1 UID]])=0,0,IFERROR(MATCH(Tasks[[#This Row],[Pred1 UID]],Tasks[UID],0),-1))</f>
        <v>0</v>
      </c>
      <c r="BZ137" s="41" t="n">
        <f aca="false">IF(N(Tasks[[#This Row],[Pred2 UID]])=0,0,IFERROR(MATCH(Tasks[[#This Row],[Pred2 UID]],Tasks[UID],0),-1))</f>
        <v>0</v>
      </c>
      <c r="CA137" s="41" t="n">
        <f aca="false">IF(N(Tasks[[#This Row],[Pred3 UID]])=0,0,IFERROR(MATCH(Tasks[[#This Row],[Pred3 UID]],Tasks[UID],0),-1))</f>
        <v>0</v>
      </c>
      <c r="CB137" s="41" t="n">
        <f aca="false">IF(N(Tasks[[#This Row],[Pred4 UID]])=0,0,IFERROR(MATCH(Tasks[[#This Row],[Pred4 UID]],Tasks[UID],0),-1))</f>
        <v>0</v>
      </c>
      <c r="CC1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7" s="101" t="n">
        <f aca="false">IF(OR(Tasks[[#This Row],[_ConstraintCode]]=2,Tasks[[#This Row],[_ConstraintCode]]=3,Tasks[[#This Row],[_ConstraintCode]]=4,Tasks[[#This Row],[_ConstraintCode]]=6),Tasks[[#This Row],[_ConstraintStart]],0)</f>
        <v>0</v>
      </c>
      <c r="CF137" s="101" t="n">
        <f aca="false">IF(OR(Tasks[[#This Row],[_ConstraintCode]]=2,Tasks[[#This Row],[_ConstraintCode]]=3,Tasks[[#This Row],[_ConstraintCode]]=5,Tasks[[#This Row],[_ConstraintCode]]=7),Tasks[[#This Row],[_ConstraintStart]],2958465)</f>
        <v>2958465</v>
      </c>
      <c r="CG13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7" s="101" t="str">
        <f aca="false">IF(NOT(Tasks[[#This Row],[_IsLeaf]]=1),"",IF(N(Tasks[[#This Row],[Duration]])&lt;=0,Tasks[[#This Row],[_LeafCalcStart]],WORKDAY.INTL(Tasks[[#This Row],[_LeafCalcStart]],Tasks[[#This Row],[Duration]]-1,WorkWeek,Holidays)))</f>
        <v/>
      </c>
      <c r="CI13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7" s="41" t="n">
        <f aca="false">IF(NOT(Tasks[[#This Row],[_IsLeaf]]=1),0,IF(N(Tasks[[#This Row],[Actual Finish]])&gt;0,1,MIN(1,N(Tasks[[#This Row],[% Complete]]))))</f>
        <v>0</v>
      </c>
      <c r="CL137" s="41" t="n">
        <f aca="false">IF(OR(NOT(Tasks[[#This Row],[_IsLeaf]]=1),Tasks[[#This Row],[Resource]]=""),0,N(Tasks[[#This Row],[Duration]])*HoursPerDay*IF(Tasks[[#This Row],[Units]]="",DefaultUnits,Tasks[[#This Row],[Units]]))</f>
        <v>0</v>
      </c>
      <c r="CM137" s="41" t="n">
        <f aca="false">IF(Tasks[[#This Row],[_LeafWork]]=0,0,Tasks[[#This Row],[_LeafWork]]*IFERROR(INDEX(res_Rate,MATCH(Tasks[[#This Row],[Resource]],res_Name,0)),0))</f>
        <v>0</v>
      </c>
      <c r="CN137" s="41" t="n">
        <f aca="false">Tasks[[#This Row],[_LeafWork]]+IF(Tasks[[#This Row],[_IsLeaf]]=1,SUMIFS(asg_Work,asg_TaskUID,Tasks[[#This Row],[UID]],asg_Valid,1),0)</f>
        <v>0</v>
      </c>
      <c r="CO137" s="41" t="n">
        <f aca="false">Tasks[[#This Row],[_LeafCost]]+IF(Tasks[[#This Row],[_IsLeaf]]=1,SUMIFS(asg_Cost,asg_TaskUID,Tasks[[#This Row],[UID]],asg_Valid,1),0)</f>
        <v>0</v>
      </c>
      <c r="CP137" s="41" t="n">
        <f aca="false">IF(Tasks[[#This Row],[_LeafTotalCost]]=0,Tasks[[#This Row],[_LeafAC]],Tasks[[#This Row],[_LeafAC]]*Tasks[[#This Row],[_LeafCost]]/Tasks[[#This Row],[_LeafTotalCost]])</f>
        <v>0</v>
      </c>
      <c r="CQ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7" s="41" t="n">
        <f aca="false">IF(NOT(Tasks[[#This Row],[_IsLeaf]]=1),0,MAX(_xlfn.MAXIFS(Tasks[_Row],Tasks[Pred1 UID],Tasks[[#This Row],[UID]]),_xlfn.MAXIFS(Tasks[_Row],Tasks[Pred2 UID],Tasks[[#This Row],[UID]]),_xlfn.MAXIFS(Tasks[_Row],Tasks[Pred3 UID],Tasks[[#This Row],[UID]]),_xlfn.MAXIFS(Tasks[_Row],Tasks[Pred4 UID],Tasks[[#This Row],[UID]])))</f>
        <v>0</v>
      </c>
      <c r="CZ1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7" s="101" t="str">
        <f aca="false">IF(NOT(Tasks[[#This Row],[_IsLeaf]]=1),"",IF(N(Tasks[[#This Row],[Duration]])&lt;=0,Tasks[[#This Row],[_LeafLateFinish]],WORKDAY.INTL(Tasks[[#This Row],[_LeafLateFinish]],-(Tasks[[#This Row],[Duration]]-1),WorkWeek,Holidays)))</f>
        <v/>
      </c>
      <c r="DC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7" s="100" t="b">
        <f aca="false">AND(Tasks[[#This Row],[_IsLeaf]]=1,Tasks[[#This Row],[_LeafProgress]]&lt;1,N(Tasks[[#This Row],[_LeafTotalSlack]])&lt;=CriticalSlackDays)</f>
        <v>0</v>
      </c>
      <c r="DE137" s="41" t="n">
        <f aca="false">IF(AND(Tasks[[#This Row],[_IsLeaf]]=1,Tasks[[#This Row],[_ConstraintCode]]=1,Tasks[[#This Row],[Mode]]&lt;&gt;"Manual",N(Tasks[[#This Row],[Actual Start]])=0),MAX(0,N(Tasks[[#This Row],[Free Slack]])),0)</f>
        <v>0</v>
      </c>
      <c r="DF137" s="101" t="str">
        <f aca="false">IF(NOT(Tasks[[#This Row],[_IsLeaf]]=1),"",IF(Tasks[[#This Row],[_AlapShift]]=0,Tasks[[#This Row],[_LeafCalcStart]],WORKDAY.INTL(Tasks[[#This Row],[_LeafCalcStart]],Tasks[[#This Row],[_AlapShift]],WorkWeek,Holidays)))</f>
        <v/>
      </c>
      <c r="DG137" s="101" t="str">
        <f aca="false">IF(NOT(Tasks[[#This Row],[_IsLeaf]]=1),"",IF(Tasks[[#This Row],[_AlapShift]]=0,Tasks[[#This Row],[_LeafCalcFinish]],WORKDAY.INTL(Tasks[[#This Row],[_LeafCalcFinish]],Tasks[[#This Row],[_AlapShift]],WorkWeek,Holidays)))</f>
        <v/>
      </c>
      <c r="DH137" s="101" t="str">
        <f aca="false">IF(NOT(Tasks[[#This Row],[_IsLeaf]]=1),"",IF(Tasks[[#This Row],[_AlapShift]]=0,Tasks[[#This Row],[_LeafFcstStart]],WORKDAY.INTL(Tasks[[#This Row],[_LeafFcstStart]],Tasks[[#This Row],[_AlapShift]],WorkWeek,Holidays)))</f>
        <v/>
      </c>
      <c r="DI137" s="101" t="str">
        <f aca="false">IF(NOT(Tasks[[#This Row],[_IsLeaf]]=1),"",IF(Tasks[[#This Row],[_AlapShift]]=0,Tasks[[#This Row],[_LeafFcstFinish]],WORKDAY.INTL(Tasks[[#This Row],[_LeafFcstFinish]],Tasks[[#This Row],[_AlapShift]],WorkWeek,Holidays)))</f>
        <v/>
      </c>
      <c r="DJ137" s="101" t="str">
        <f aca="false">IF(Tasks[[#This Row],[Task Name]]="","",IF(Tasks[[#This Row],[_IsSummary]],MIN(INDEX(Tasks[_ShownCalcStart],Tasks[[#This Row],[_Row]]+1):INDEX(Tasks[_ShownCalcStart],Tasks[[#This Row],[_Row]]+Tasks[[#This Row],[_Descendants]])),Tasks[[#This Row],[_ShownCalcStart]]))</f>
        <v/>
      </c>
      <c r="DK137" s="101" t="str">
        <f aca="false">IF(Tasks[[#This Row],[Task Name]]="","",IF(Tasks[[#This Row],[_IsSummary]],MAX(INDEX(Tasks[_ShownCalcFinish],Tasks[[#This Row],[_Row]]+1):INDEX(Tasks[_ShownCalcFinish],Tasks[[#This Row],[_Row]]+Tasks[[#This Row],[_Descendants]])),Tasks[[#This Row],[_ShownCalcFinish]]))</f>
        <v/>
      </c>
      <c r="D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7" s="41" t="n">
        <f aca="false">IF(AND(Tasks[[#This Row],[_IsLeaf]]=1,Tasks[[#This Row],[_LeafTotalWork]]&gt;0),NETWORKDAYS.INTL(ProjectStart,Tasks[[#This Row],[_ShownFcstStart]],WorkWeek,Holidays),0)</f>
        <v>0</v>
      </c>
      <c r="DY137" s="41" t="n">
        <f aca="false">IF(AND(Tasks[[#This Row],[_IsLeaf]]=1,Tasks[[#This Row],[_LeafTotalWork]]&gt;0),MAX(Tasks[[#This Row],[_StartWorkday]],NETWORKDAYS.INTL(ProjectStart,Tasks[[#This Row],[_ShownFcstFinish]],WorkWeek,Holidays)),0)</f>
        <v>0</v>
      </c>
      <c r="DZ137" s="41" t="n">
        <f aca="false">IF(AND(Tasks[[#This Row],[_IsLeaf]]=1,Tasks[[#This Row],[_LeafTotalWork]]&gt;0),Tasks[[#This Row],[_LeafWork]]/(Tasks[[#This Row],[_FinishWorkday]]-Tasks[[#This Row],[_StartWorkday]]+1),0)</f>
        <v>0</v>
      </c>
      <c r="EA137" s="41" t="n">
        <f aca="false">Tasks[[#This Row],[_WorkPerWorkday]]*(Tasks[[#This Row],[_StartWorkday]]-1)</f>
        <v>-0</v>
      </c>
      <c r="EB137" s="41" t="n">
        <f aca="false">IF(Tasks[[#This Row],[_IsLeaf]]=1,MAX(N(Tasks[[#This Row],[Duration]]),0.1),0)</f>
        <v>0</v>
      </c>
      <c r="EC137" s="41" t="n">
        <f aca="false">Tasks[[#This Row],[_WeightDur]]*Tasks[[#This Row],[_LeafProgress]]</f>
        <v>0</v>
      </c>
      <c r="ED1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7" s="41" t="str">
        <f aca="false">IF(AND(Tasks[[#This Row],[_IsLeaf]]=1,N(Tasks[[#This Row],[Duration]])=0,Tasks[[#This Row],[_LeafProgress]]&lt;1),Tasks[[#This Row],[_ShownFcstFinish]]+Tasks[[#This Row],[_Row]]/100000,"")</f>
        <v/>
      </c>
      <c r="EF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7" s="41" t="n">
        <f aca="false">IF(NOT(Tasks[[#This Row],[_IsLeaf]]=1),0,IF(Tasks[[#This Row],[Baseline Cost]]="",Tasks[[#This Row],[_LeafTotalCost]],N(Tasks[[#This Row],[Baseline Cost]])))</f>
        <v>0</v>
      </c>
      <c r="EH137" s="41" t="n">
        <f aca="false">Tasks[[#This Row],[_LeafBudget]]*Tasks[[#This Row],[_PlannedPct]]</f>
        <v>0</v>
      </c>
      <c r="EI137" s="41" t="n">
        <f aca="false">Tasks[[#This Row],[_LeafBudget]]*Tasks[[#This Row],[_LeafProgress]]</f>
        <v>0</v>
      </c>
      <c r="EJ137" s="41" t="n">
        <f aca="false">IF(NOT(Tasks[[#This Row],[_IsLeaf]]=1),0,IF(Tasks[[#This Row],[Actual Cost]]="",Tasks[[#This Row],[_LeafTotalCost]]*Tasks[[#This Row],[_LeafProgress]],N(Tasks[[#This Row],[Actual Cost]])))</f>
        <v>0</v>
      </c>
      <c r="EK137" s="41" t="str">
        <f aca="false">IF(Tasks[[#This Row],[Task Name]]="","",LEFT(Tasks[[#This Row],[WBS]],FIND(".",Tasks[[#This Row],[WBS]]&amp;".")-1))</f>
        <v/>
      </c>
      <c r="EL137" s="41" t="str">
        <f aca="false">IF(AND(Tasks[[#This Row],[Task Name]]&lt;&gt;"",Tasks[[#This Row],[_Level]]=1),Tasks[[#This Row],[_Row]],"")</f>
        <v/>
      </c>
      <c r="EM137" s="41" t="str">
        <f aca="false">IF(AND(Tasks[[#This Row],[_IsLeaf]]=1,N(Tasks[[#This Row],[Duration]])=0),Tasks[[#This Row],[Planned Finish]]+Tasks[[#This Row],[_Row]]/100000,"")</f>
        <v/>
      </c>
      <c r="EN137" s="41" t="str">
        <f aca="false">IF(AND(Tasks[[#This Row],[_IsLeaf]]=1,Tasks[[#This Row],[_LeafProgress]]&lt;1,OR(N(Tasks[[#This Row],[Finish Var]])&gt;0,Tasks[[#This Row],[Status]]="Late Start")),MAX(0,Tasks[[#This Row],[Finish Var]])+1-Tasks[[#This Row],[_Row]]/1000000,"")</f>
        <v/>
      </c>
      <c r="EO137" s="41" t="str">
        <f aca="false">IF(AND(Tasks[[#This Row],[_IsLeaf]]=1,N(Tasks[[#This Row],[Actual Start]])=0,Tasks[[#This Row],[_ShownFcstStart]]&gt;=StatusDate,Tasks[[#This Row],[_ShownFcstStart]]&lt;=LookaheadEnd),Tasks[[#This Row],[_ShownFcstStart]]+Tasks[[#This Row],[_Row]]/100000,"")</f>
        <v/>
      </c>
      <c r="EP137" s="41" t="str">
        <f aca="false">IF(AND(Tasks[[#This Row],[_IsLeaf]]=1,Tasks[[#This Row],[_LeafProgress]]&lt;1,Tasks[[#This Row],[_ShownFcstFinish]]&gt;=StatusDate,Tasks[[#This Row],[_ShownFcstFinish]]&lt;=LookaheadEnd),Tasks[[#This Row],[_ShownFcstFinish]]+Tasks[[#This Row],[_Row]]/100000,"")</f>
        <v/>
      </c>
      <c r="EQ137" s="41" t="str">
        <f aca="false">IF(Tasks[[#This Row],[_LeafCritical]],Tasks[[#This Row],[_ShownFcstStart]]+Tasks[[#This Row],[_Row]]/100000,"")</f>
        <v/>
      </c>
      <c r="ER137" s="41" t="n">
        <f aca="false">Tasks[[#This Row],[_LeafWork]]*Tasks[[#This Row],[_LeafProgress]]</f>
        <v>0</v>
      </c>
      <c r="ES137" s="101" t="str">
        <f aca="false">IF(AND(Tasks[[#This Row],[_IsLeaf]]=1,Tasks[[#This Row],[_LeafProgress]]&gt;=1),IF(N(Tasks[[#This Row],[Actual Finish]])&gt;0,Tasks[[#This Row],[Actual Finish]],Tasks[[#This Row],[_ShownFcstFinish]]),"")</f>
        <v/>
      </c>
      <c r="ET137" s="41" t="n">
        <f aca="false">IF(Tasks[[#This Row],[_IsLeaf]]=1,N(Tasks[[#This Row],[Story Points]]),0)</f>
        <v>0</v>
      </c>
      <c r="EU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29"/>
      <c r="O138" s="29"/>
      <c r="P138" s="29"/>
      <c r="Q138" s="29"/>
      <c r="R138" s="29"/>
      <c r="S138" s="29"/>
      <c r="T138" s="30"/>
      <c r="U138" s="75"/>
      <c r="V138" s="75"/>
      <c r="W138" s="25" t="str">
        <f aca="false">IF(Tasks[[#This Row],[Task Name]]="","",IF(N(Tasks[[#This Row],[Baseline Start]])&gt;0,Tasks[[#This Row],[Baseline Start]],Tasks[[#This Row],[_CalcStart]]))</f>
        <v/>
      </c>
      <c r="X138" s="25" t="str">
        <f aca="false">IF(Tasks[[#This Row],[Task Name]]="","",IF(N(Tasks[[#This Row],[Baseline Finish]])&gt;0,Tasks[[#This Row],[Baseline Finish]],Tasks[[#This Row],[_CalcFinish]]))</f>
        <v/>
      </c>
      <c r="Y138" s="75"/>
      <c r="Z138" s="75"/>
      <c r="AA138" s="25" t="str">
        <f aca="false">IF(Tasks[[#This Row],[Task Name]]="","",IF(Tasks[[#This Row],[_IsSummary]],MIN(INDEX(Tasks[_ShownFcstStart],Tasks[[#This Row],[_Row]]+1):INDEX(Tasks[_ShownFcstStart],Tasks[[#This Row],[_Row]]+Tasks[[#This Row],[_Descendants]])),Tasks[[#This Row],[_ShownFcstStart]]))</f>
        <v/>
      </c>
      <c r="AB138" s="25" t="str">
        <f aca="false">IF(Tasks[[#This Row],[Task Name]]="","",IF(Tasks[[#This Row],[_IsSummary]],MAX(INDEX(Tasks[_ShownFcstFinish],Tasks[[#This Row],[_Row]]+1):INDEX(Tasks[_ShownFcstFinish],Tasks[[#This Row],[_Row]]+Tasks[[#This Row],[_Descendants]])),Tasks[[#This Row],[_ShownFcstFinish]]))</f>
        <v/>
      </c>
      <c r="AC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8" s="25" t="str">
        <f aca="false">IF(Tasks[[#This Row],[Task Name]]="","",IF(Tasks[[#This Row],[_IsSummary]],MIN(INDEX(Tasks[_LeafLateStart],Tasks[[#This Row],[_Row]]+1):INDEX(Tasks[_LeafLateStart],Tasks[[#This Row],[_Row]]+Tasks[[#This Row],[_Descendants]])),Tasks[[#This Row],[_LeafLateStart]]))</f>
        <v/>
      </c>
      <c r="AF138" s="25" t="str">
        <f aca="false">IF(Tasks[[#This Row],[Task Name]]="","",IF(Tasks[[#This Row],[_IsSummary]],MAX(INDEX(Tasks[_LeafLateFinish],Tasks[[#This Row],[_Row]]+1):INDEX(Tasks[_LeafLateFinish],Tasks[[#This Row],[_Row]]+Tasks[[#This Row],[_Descendants]])),Tasks[[#This Row],[_LeafLateFinish]]))</f>
        <v/>
      </c>
      <c r="AG138" s="28" t="str">
        <f aca="false">IF(Tasks[[#This Row],[Task Name]]="","",IF(Tasks[[#This Row],[_IsSummary]],MIN(INDEX(Tasks[_LeafTotalSlack],Tasks[[#This Row],[_Row]]+1):INDEX(Tasks[_LeafTotalSlack],Tasks[[#This Row],[_Row]]+Tasks[[#This Row],[_Descendants]])),Tasks[[#This Row],[_LeafTotalSlack]]))</f>
        <v/>
      </c>
      <c r="AH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8" s="28" t="str">
        <f aca="false">IF(Tasks[[#This Row],[Task Name]]="","",IF(IF(Tasks[[#This Row],[_IsSummary]],COUNTIF(INDEX(Tasks[_LeafCritical],Tasks[[#This Row],[_Row]]+1):INDEX(Tasks[_LeafCritical],Tasks[[#This Row],[_Row]]+Tasks[[#This Row],[_Descendants]]),TRUE())&gt;0,Tasks[[#This Row],[_LeafCritical]]),"Yes",""))</f>
        <v/>
      </c>
      <c r="AJ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8" s="89"/>
      <c r="AM1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8" s="28" t="str">
        <f aca="false">IF(Tasks[[#This Row],[Task Name]]="","",IF(Tasks[[#This Row],[Progress]]&gt;=1,"Complete",IF(OR(N(Tasks[[#This Row],[Actual Start]])&gt;0,Tasks[[#This Row],[Progress]]&gt;0),IF(Tasks[[#This Row],[Finish Var]]&gt;0,"Behind","In Progress"),IF(Tasks[[#This Row],[Planned Start]]&lt;StatusDate,"Late Start","Not Started"))))</f>
        <v/>
      </c>
      <c r="AO138" s="30"/>
      <c r="AP138" s="89"/>
      <c r="AQ1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8" s="96" t="str">
        <f aca="false">IF(Tasks[[#This Row],[Task Name]]="","",IF(Tasks[[#This Row],[_IsSummary]],SUM(INDEX(Tasks[_LeafTotalWork],Tasks[[#This Row],[_Row]]+1):INDEX(Tasks[_LeafTotalWork],Tasks[[#This Row],[_Row]]+Tasks[[#This Row],[_Descendants]])),Tasks[[#This Row],[_LeafTotalWork]]))</f>
        <v/>
      </c>
      <c r="AT138" s="97" t="str">
        <f aca="false">IF(Tasks[[#This Row],[Task Name]]="","",IF(Tasks[[#This Row],[_IsSummary]],SUM(INDEX(Tasks[_LeafTotalCost],Tasks[[#This Row],[_Row]]+1):INDEX(Tasks[_LeafTotalCost],Tasks[[#This Row],[_Row]]+Tasks[[#This Row],[_Descendants]])),Tasks[[#This Row],[_LeafTotalCost]]))</f>
        <v/>
      </c>
      <c r="AU138" s="98"/>
      <c r="AV138" s="29"/>
      <c r="AW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8" s="83"/>
      <c r="AY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8" s="30"/>
      <c r="BA138" s="25" t="str">
        <f aca="false">IF(Tasks[[#This Row],[Task Name]]="","",Tasks[[#This Row],[Forecast Start]])</f>
        <v/>
      </c>
      <c r="BB138" s="25" t="str">
        <f aca="false">IF(Tasks[[#This Row],[Task Name]]="","",Tasks[[#This Row],[Forecast Finish]])</f>
        <v/>
      </c>
      <c r="BC138" s="28" t="str">
        <f aca="false">IF(Tasks[[#This Row],[Task Name]]="","",IF(Tasks[[#This Row],[_IsSummary]],NETWORKDAYS.INTL(Tasks[[#This Row],[Forecast Start]],Tasks[[#This Row],[Forecast Finish]],WorkWeek,Holidays),N(Tasks[[#This Row],[Duration]])))</f>
        <v/>
      </c>
      <c r="BD138" s="96" t="str">
        <f aca="false">IF(Tasks[[#This Row],[Task Name]]="","",Tasks[[#This Row],[Work]])</f>
        <v/>
      </c>
      <c r="BE138" s="97" t="str">
        <f aca="false">IF(Tasks[[#This Row],[Task Name]]="","",Tasks[[#This Row],[Cost]])</f>
        <v/>
      </c>
      <c r="BF138" s="75"/>
      <c r="BG138" s="75"/>
      <c r="BH138" s="29"/>
      <c r="BI138" s="99"/>
      <c r="BJ138" s="98"/>
      <c r="BK138" s="28" t="str">
        <f aca="false">IF(OR(Tasks[[#This Row],[Task Name]]="",Tasks[[#This Row],[Baseline Duration]]=""),"",Tasks[[#This Row],[BL Source Duration]]-N(Tasks[[#This Row],[Baseline Duration]]))</f>
        <v/>
      </c>
      <c r="BL138" s="96" t="str">
        <f aca="false">IF(OR(Tasks[[#This Row],[Task Name]]="",Tasks[[#This Row],[Baseline Work]]=""),"",Tasks[[#This Row],[Work]]-N(Tasks[[#This Row],[Baseline Work]]))</f>
        <v/>
      </c>
      <c r="BM138" s="97" t="str">
        <f aca="false">IF(OR(Tasks[[#This Row],[Task Name]]="",Tasks[[#This Row],[Baseline Cost]]=""),"",Tasks[[#This Row],[Cost]]-N(Tasks[[#This Row],[Baseline Cost]]))</f>
        <v/>
      </c>
      <c r="BN138" s="97" t="str">
        <f aca="false">IF(Tasks[[#This Row],[Task Name]]="","",IF(Tasks[[#This Row],[_IsSummary]],SUM(INDEX(Tasks[_LeafBudget],Tasks[[#This Row],[_Row]]+1):INDEX(Tasks[_LeafBudget],Tasks[[#This Row],[_Row]]+Tasks[[#This Row],[_Descendants]])),Tasks[[#This Row],[_LeafBudget]]))</f>
        <v/>
      </c>
      <c r="BO138" s="97" t="str">
        <f aca="false">IF(Tasks[[#This Row],[Task Name]]="","",IF(Tasks[[#This Row],[_IsSummary]],SUM(INDEX(Tasks[_LeafPV],Tasks[[#This Row],[_Row]]+1):INDEX(Tasks[_LeafPV],Tasks[[#This Row],[_Row]]+Tasks[[#This Row],[_Descendants]])),Tasks[[#This Row],[_LeafPV]]))</f>
        <v/>
      </c>
      <c r="BP138" s="97" t="str">
        <f aca="false">IF(Tasks[[#This Row],[Task Name]]="","",IF(Tasks[[#This Row],[_IsSummary]],SUM(INDEX(Tasks[_LeafEV],Tasks[[#This Row],[_Row]]+1):INDEX(Tasks[_LeafEV],Tasks[[#This Row],[_Row]]+Tasks[[#This Row],[_Descendants]])),Tasks[[#This Row],[_LeafEV]]))</f>
        <v/>
      </c>
      <c r="BQ138" s="97" t="str">
        <f aca="false">IF(Tasks[[#This Row],[Task Name]]="","",IF(Tasks[[#This Row],[_IsSummary]],SUM(INDEX(Tasks[_LeafAC],Tasks[[#This Row],[_Row]]+1):INDEX(Tasks[_LeafAC],Tasks[[#This Row],[_Row]]+Tasks[[#This Row],[_Descendants]])),Tasks[[#This Row],[_LeafAC]]))</f>
        <v/>
      </c>
      <c r="BR138" s="41" t="str">
        <f aca="false">IF(Tasks[[#This Row],[Task Name]]="","",MAX(1,N(Tasks[[#This Row],[Level]])))</f>
        <v/>
      </c>
      <c r="BS138" s="41" t="n">
        <f aca="false">ROW()-ROW(Tasks[[#Headers],[ID]])</f>
        <v>133</v>
      </c>
      <c r="BT138" s="41" t="n">
        <f aca="false">IF(OR(Tasks[[#This Row],[Task Name]]="",Tasks[[#This Row],[_Level]]&lt;=1),0,IFERROR(LOOKUP(2,1/(Tasks[[#Headers],[_Level]]:Tasks[[#This Row],[_Level]]=Tasks[[#This Row],[_Level]]-1),ROW(Tasks[[#Headers],[_Level]]:Tasks[[#This Row],[_Level]])),0))</f>
        <v>0</v>
      </c>
      <c r="BU138" s="41" t="n">
        <f aca="false">IFERROR(N(INDEX(Tasks[_Level],Tasks[[#This Row],[_Row]]+1)),0)</f>
        <v>0</v>
      </c>
      <c r="BV138" s="100" t="b">
        <f aca="false">AND(Tasks[[#This Row],[Task Name]]&lt;&gt;"",Tasks[[#This Row],[_NextLevel]]&gt;Tasks[[#This Row],[_Level]])</f>
        <v>0</v>
      </c>
      <c r="BW138" s="41" t="n">
        <f aca="false">IF(Tasks[[#This Row],[_IsSummary]],COUNTIF(Tasks[WBS],Tasks[[#This Row],[WBS]]&amp;".*"),0)</f>
        <v>0</v>
      </c>
      <c r="BX138" s="41" t="n">
        <f aca="false">IF(AND(Tasks[[#This Row],[Task Name]]&lt;&gt;"",NOT(Tasks[[#This Row],[_IsSummary]])),1,0)</f>
        <v>0</v>
      </c>
      <c r="BY138" s="41" t="n">
        <f aca="false">IF(N(Tasks[[#This Row],[Pred1 UID]])=0,0,IFERROR(MATCH(Tasks[[#This Row],[Pred1 UID]],Tasks[UID],0),-1))</f>
        <v>0</v>
      </c>
      <c r="BZ138" s="41" t="n">
        <f aca="false">IF(N(Tasks[[#This Row],[Pred2 UID]])=0,0,IFERROR(MATCH(Tasks[[#This Row],[Pred2 UID]],Tasks[UID],0),-1))</f>
        <v>0</v>
      </c>
      <c r="CA138" s="41" t="n">
        <f aca="false">IF(N(Tasks[[#This Row],[Pred3 UID]])=0,0,IFERROR(MATCH(Tasks[[#This Row],[Pred3 UID]],Tasks[UID],0),-1))</f>
        <v>0</v>
      </c>
      <c r="CB138" s="41" t="n">
        <f aca="false">IF(N(Tasks[[#This Row],[Pred4 UID]])=0,0,IFERROR(MATCH(Tasks[[#This Row],[Pred4 UID]],Tasks[UID],0),-1))</f>
        <v>0</v>
      </c>
      <c r="CC1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8" s="101" t="n">
        <f aca="false">IF(OR(Tasks[[#This Row],[_ConstraintCode]]=2,Tasks[[#This Row],[_ConstraintCode]]=3,Tasks[[#This Row],[_ConstraintCode]]=4,Tasks[[#This Row],[_ConstraintCode]]=6),Tasks[[#This Row],[_ConstraintStart]],0)</f>
        <v>0</v>
      </c>
      <c r="CF138" s="101" t="n">
        <f aca="false">IF(OR(Tasks[[#This Row],[_ConstraintCode]]=2,Tasks[[#This Row],[_ConstraintCode]]=3,Tasks[[#This Row],[_ConstraintCode]]=5,Tasks[[#This Row],[_ConstraintCode]]=7),Tasks[[#This Row],[_ConstraintStart]],2958465)</f>
        <v>2958465</v>
      </c>
      <c r="CG13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8" s="101" t="str">
        <f aca="false">IF(NOT(Tasks[[#This Row],[_IsLeaf]]=1),"",IF(N(Tasks[[#This Row],[Duration]])&lt;=0,Tasks[[#This Row],[_LeafCalcStart]],WORKDAY.INTL(Tasks[[#This Row],[_LeafCalcStart]],Tasks[[#This Row],[Duration]]-1,WorkWeek,Holidays)))</f>
        <v/>
      </c>
      <c r="CI13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8" s="41" t="n">
        <f aca="false">IF(NOT(Tasks[[#This Row],[_IsLeaf]]=1),0,IF(N(Tasks[[#This Row],[Actual Finish]])&gt;0,1,MIN(1,N(Tasks[[#This Row],[% Complete]]))))</f>
        <v>0</v>
      </c>
      <c r="CL138" s="41" t="n">
        <f aca="false">IF(OR(NOT(Tasks[[#This Row],[_IsLeaf]]=1),Tasks[[#This Row],[Resource]]=""),0,N(Tasks[[#This Row],[Duration]])*HoursPerDay*IF(Tasks[[#This Row],[Units]]="",DefaultUnits,Tasks[[#This Row],[Units]]))</f>
        <v>0</v>
      </c>
      <c r="CM138" s="41" t="n">
        <f aca="false">IF(Tasks[[#This Row],[_LeafWork]]=0,0,Tasks[[#This Row],[_LeafWork]]*IFERROR(INDEX(res_Rate,MATCH(Tasks[[#This Row],[Resource]],res_Name,0)),0))</f>
        <v>0</v>
      </c>
      <c r="CN138" s="41" t="n">
        <f aca="false">Tasks[[#This Row],[_LeafWork]]+IF(Tasks[[#This Row],[_IsLeaf]]=1,SUMIFS(asg_Work,asg_TaskUID,Tasks[[#This Row],[UID]],asg_Valid,1),0)</f>
        <v>0</v>
      </c>
      <c r="CO138" s="41" t="n">
        <f aca="false">Tasks[[#This Row],[_LeafCost]]+IF(Tasks[[#This Row],[_IsLeaf]]=1,SUMIFS(asg_Cost,asg_TaskUID,Tasks[[#This Row],[UID]],asg_Valid,1),0)</f>
        <v>0</v>
      </c>
      <c r="CP138" s="41" t="n">
        <f aca="false">IF(Tasks[[#This Row],[_LeafTotalCost]]=0,Tasks[[#This Row],[_LeafAC]],Tasks[[#This Row],[_LeafAC]]*Tasks[[#This Row],[_LeafCost]]/Tasks[[#This Row],[_LeafTotalCost]])</f>
        <v>0</v>
      </c>
      <c r="CQ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8" s="41" t="n">
        <f aca="false">IF(NOT(Tasks[[#This Row],[_IsLeaf]]=1),0,MAX(_xlfn.MAXIFS(Tasks[_Row],Tasks[Pred1 UID],Tasks[[#This Row],[UID]]),_xlfn.MAXIFS(Tasks[_Row],Tasks[Pred2 UID],Tasks[[#This Row],[UID]]),_xlfn.MAXIFS(Tasks[_Row],Tasks[Pred3 UID],Tasks[[#This Row],[UID]]),_xlfn.MAXIFS(Tasks[_Row],Tasks[Pred4 UID],Tasks[[#This Row],[UID]])))</f>
        <v>0</v>
      </c>
      <c r="CZ1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8" s="101" t="str">
        <f aca="false">IF(NOT(Tasks[[#This Row],[_IsLeaf]]=1),"",IF(N(Tasks[[#This Row],[Duration]])&lt;=0,Tasks[[#This Row],[_LeafLateFinish]],WORKDAY.INTL(Tasks[[#This Row],[_LeafLateFinish]],-(Tasks[[#This Row],[Duration]]-1),WorkWeek,Holidays)))</f>
        <v/>
      </c>
      <c r="DC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8" s="100" t="b">
        <f aca="false">AND(Tasks[[#This Row],[_IsLeaf]]=1,Tasks[[#This Row],[_LeafProgress]]&lt;1,N(Tasks[[#This Row],[_LeafTotalSlack]])&lt;=CriticalSlackDays)</f>
        <v>0</v>
      </c>
      <c r="DE138" s="41" t="n">
        <f aca="false">IF(AND(Tasks[[#This Row],[_IsLeaf]]=1,Tasks[[#This Row],[_ConstraintCode]]=1,Tasks[[#This Row],[Mode]]&lt;&gt;"Manual",N(Tasks[[#This Row],[Actual Start]])=0),MAX(0,N(Tasks[[#This Row],[Free Slack]])),0)</f>
        <v>0</v>
      </c>
      <c r="DF138" s="101" t="str">
        <f aca="false">IF(NOT(Tasks[[#This Row],[_IsLeaf]]=1),"",IF(Tasks[[#This Row],[_AlapShift]]=0,Tasks[[#This Row],[_LeafCalcStart]],WORKDAY.INTL(Tasks[[#This Row],[_LeafCalcStart]],Tasks[[#This Row],[_AlapShift]],WorkWeek,Holidays)))</f>
        <v/>
      </c>
      <c r="DG138" s="101" t="str">
        <f aca="false">IF(NOT(Tasks[[#This Row],[_IsLeaf]]=1),"",IF(Tasks[[#This Row],[_AlapShift]]=0,Tasks[[#This Row],[_LeafCalcFinish]],WORKDAY.INTL(Tasks[[#This Row],[_LeafCalcFinish]],Tasks[[#This Row],[_AlapShift]],WorkWeek,Holidays)))</f>
        <v/>
      </c>
      <c r="DH138" s="101" t="str">
        <f aca="false">IF(NOT(Tasks[[#This Row],[_IsLeaf]]=1),"",IF(Tasks[[#This Row],[_AlapShift]]=0,Tasks[[#This Row],[_LeafFcstStart]],WORKDAY.INTL(Tasks[[#This Row],[_LeafFcstStart]],Tasks[[#This Row],[_AlapShift]],WorkWeek,Holidays)))</f>
        <v/>
      </c>
      <c r="DI138" s="101" t="str">
        <f aca="false">IF(NOT(Tasks[[#This Row],[_IsLeaf]]=1),"",IF(Tasks[[#This Row],[_AlapShift]]=0,Tasks[[#This Row],[_LeafFcstFinish]],WORKDAY.INTL(Tasks[[#This Row],[_LeafFcstFinish]],Tasks[[#This Row],[_AlapShift]],WorkWeek,Holidays)))</f>
        <v/>
      </c>
      <c r="DJ138" s="101" t="str">
        <f aca="false">IF(Tasks[[#This Row],[Task Name]]="","",IF(Tasks[[#This Row],[_IsSummary]],MIN(INDEX(Tasks[_ShownCalcStart],Tasks[[#This Row],[_Row]]+1):INDEX(Tasks[_ShownCalcStart],Tasks[[#This Row],[_Row]]+Tasks[[#This Row],[_Descendants]])),Tasks[[#This Row],[_ShownCalcStart]]))</f>
        <v/>
      </c>
      <c r="DK138" s="101" t="str">
        <f aca="false">IF(Tasks[[#This Row],[Task Name]]="","",IF(Tasks[[#This Row],[_IsSummary]],MAX(INDEX(Tasks[_ShownCalcFinish],Tasks[[#This Row],[_Row]]+1):INDEX(Tasks[_ShownCalcFinish],Tasks[[#This Row],[_Row]]+Tasks[[#This Row],[_Descendants]])),Tasks[[#This Row],[_ShownCalcFinish]]))</f>
        <v/>
      </c>
      <c r="D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8" s="41" t="n">
        <f aca="false">IF(AND(Tasks[[#This Row],[_IsLeaf]]=1,Tasks[[#This Row],[_LeafTotalWork]]&gt;0),NETWORKDAYS.INTL(ProjectStart,Tasks[[#This Row],[_ShownFcstStart]],WorkWeek,Holidays),0)</f>
        <v>0</v>
      </c>
      <c r="DY138" s="41" t="n">
        <f aca="false">IF(AND(Tasks[[#This Row],[_IsLeaf]]=1,Tasks[[#This Row],[_LeafTotalWork]]&gt;0),MAX(Tasks[[#This Row],[_StartWorkday]],NETWORKDAYS.INTL(ProjectStart,Tasks[[#This Row],[_ShownFcstFinish]],WorkWeek,Holidays)),0)</f>
        <v>0</v>
      </c>
      <c r="DZ138" s="41" t="n">
        <f aca="false">IF(AND(Tasks[[#This Row],[_IsLeaf]]=1,Tasks[[#This Row],[_LeafTotalWork]]&gt;0),Tasks[[#This Row],[_LeafWork]]/(Tasks[[#This Row],[_FinishWorkday]]-Tasks[[#This Row],[_StartWorkday]]+1),0)</f>
        <v>0</v>
      </c>
      <c r="EA138" s="41" t="n">
        <f aca="false">Tasks[[#This Row],[_WorkPerWorkday]]*(Tasks[[#This Row],[_StartWorkday]]-1)</f>
        <v>-0</v>
      </c>
      <c r="EB138" s="41" t="n">
        <f aca="false">IF(Tasks[[#This Row],[_IsLeaf]]=1,MAX(N(Tasks[[#This Row],[Duration]]),0.1),0)</f>
        <v>0</v>
      </c>
      <c r="EC138" s="41" t="n">
        <f aca="false">Tasks[[#This Row],[_WeightDur]]*Tasks[[#This Row],[_LeafProgress]]</f>
        <v>0</v>
      </c>
      <c r="ED1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8" s="41" t="str">
        <f aca="false">IF(AND(Tasks[[#This Row],[_IsLeaf]]=1,N(Tasks[[#This Row],[Duration]])=0,Tasks[[#This Row],[_LeafProgress]]&lt;1),Tasks[[#This Row],[_ShownFcstFinish]]+Tasks[[#This Row],[_Row]]/100000,"")</f>
        <v/>
      </c>
      <c r="EF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8" s="41" t="n">
        <f aca="false">IF(NOT(Tasks[[#This Row],[_IsLeaf]]=1),0,IF(Tasks[[#This Row],[Baseline Cost]]="",Tasks[[#This Row],[_LeafTotalCost]],N(Tasks[[#This Row],[Baseline Cost]])))</f>
        <v>0</v>
      </c>
      <c r="EH138" s="41" t="n">
        <f aca="false">Tasks[[#This Row],[_LeafBudget]]*Tasks[[#This Row],[_PlannedPct]]</f>
        <v>0</v>
      </c>
      <c r="EI138" s="41" t="n">
        <f aca="false">Tasks[[#This Row],[_LeafBudget]]*Tasks[[#This Row],[_LeafProgress]]</f>
        <v>0</v>
      </c>
      <c r="EJ138" s="41" t="n">
        <f aca="false">IF(NOT(Tasks[[#This Row],[_IsLeaf]]=1),0,IF(Tasks[[#This Row],[Actual Cost]]="",Tasks[[#This Row],[_LeafTotalCost]]*Tasks[[#This Row],[_LeafProgress]],N(Tasks[[#This Row],[Actual Cost]])))</f>
        <v>0</v>
      </c>
      <c r="EK138" s="41" t="str">
        <f aca="false">IF(Tasks[[#This Row],[Task Name]]="","",LEFT(Tasks[[#This Row],[WBS]],FIND(".",Tasks[[#This Row],[WBS]]&amp;".")-1))</f>
        <v/>
      </c>
      <c r="EL138" s="41" t="str">
        <f aca="false">IF(AND(Tasks[[#This Row],[Task Name]]&lt;&gt;"",Tasks[[#This Row],[_Level]]=1),Tasks[[#This Row],[_Row]],"")</f>
        <v/>
      </c>
      <c r="EM138" s="41" t="str">
        <f aca="false">IF(AND(Tasks[[#This Row],[_IsLeaf]]=1,N(Tasks[[#This Row],[Duration]])=0),Tasks[[#This Row],[Planned Finish]]+Tasks[[#This Row],[_Row]]/100000,"")</f>
        <v/>
      </c>
      <c r="EN138" s="41" t="str">
        <f aca="false">IF(AND(Tasks[[#This Row],[_IsLeaf]]=1,Tasks[[#This Row],[_LeafProgress]]&lt;1,OR(N(Tasks[[#This Row],[Finish Var]])&gt;0,Tasks[[#This Row],[Status]]="Late Start")),MAX(0,Tasks[[#This Row],[Finish Var]])+1-Tasks[[#This Row],[_Row]]/1000000,"")</f>
        <v/>
      </c>
      <c r="EO138" s="41" t="str">
        <f aca="false">IF(AND(Tasks[[#This Row],[_IsLeaf]]=1,N(Tasks[[#This Row],[Actual Start]])=0,Tasks[[#This Row],[_ShownFcstStart]]&gt;=StatusDate,Tasks[[#This Row],[_ShownFcstStart]]&lt;=LookaheadEnd),Tasks[[#This Row],[_ShownFcstStart]]+Tasks[[#This Row],[_Row]]/100000,"")</f>
        <v/>
      </c>
      <c r="EP138" s="41" t="str">
        <f aca="false">IF(AND(Tasks[[#This Row],[_IsLeaf]]=1,Tasks[[#This Row],[_LeafProgress]]&lt;1,Tasks[[#This Row],[_ShownFcstFinish]]&gt;=StatusDate,Tasks[[#This Row],[_ShownFcstFinish]]&lt;=LookaheadEnd),Tasks[[#This Row],[_ShownFcstFinish]]+Tasks[[#This Row],[_Row]]/100000,"")</f>
        <v/>
      </c>
      <c r="EQ138" s="41" t="str">
        <f aca="false">IF(Tasks[[#This Row],[_LeafCritical]],Tasks[[#This Row],[_ShownFcstStart]]+Tasks[[#This Row],[_Row]]/100000,"")</f>
        <v/>
      </c>
      <c r="ER138" s="41" t="n">
        <f aca="false">Tasks[[#This Row],[_LeafWork]]*Tasks[[#This Row],[_LeafProgress]]</f>
        <v>0</v>
      </c>
      <c r="ES138" s="101" t="str">
        <f aca="false">IF(AND(Tasks[[#This Row],[_IsLeaf]]=1,Tasks[[#This Row],[_LeafProgress]]&gt;=1),IF(N(Tasks[[#This Row],[Actual Finish]])&gt;0,Tasks[[#This Row],[Actual Finish]],Tasks[[#This Row],[_ShownFcstFinish]]),"")</f>
        <v/>
      </c>
      <c r="ET138" s="41" t="n">
        <f aca="false">IF(Tasks[[#This Row],[_IsLeaf]]=1,N(Tasks[[#This Row],[Story Points]]),0)</f>
        <v>0</v>
      </c>
      <c r="EU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29"/>
      <c r="O139" s="29"/>
      <c r="P139" s="29"/>
      <c r="Q139" s="29"/>
      <c r="R139" s="29"/>
      <c r="S139" s="29"/>
      <c r="T139" s="30"/>
      <c r="U139" s="75"/>
      <c r="V139" s="75"/>
      <c r="W139" s="25" t="str">
        <f aca="false">IF(Tasks[[#This Row],[Task Name]]="","",IF(N(Tasks[[#This Row],[Baseline Start]])&gt;0,Tasks[[#This Row],[Baseline Start]],Tasks[[#This Row],[_CalcStart]]))</f>
        <v/>
      </c>
      <c r="X139" s="25" t="str">
        <f aca="false">IF(Tasks[[#This Row],[Task Name]]="","",IF(N(Tasks[[#This Row],[Baseline Finish]])&gt;0,Tasks[[#This Row],[Baseline Finish]],Tasks[[#This Row],[_CalcFinish]]))</f>
        <v/>
      </c>
      <c r="Y139" s="75"/>
      <c r="Z139" s="75"/>
      <c r="AA139" s="25" t="str">
        <f aca="false">IF(Tasks[[#This Row],[Task Name]]="","",IF(Tasks[[#This Row],[_IsSummary]],MIN(INDEX(Tasks[_ShownFcstStart],Tasks[[#This Row],[_Row]]+1):INDEX(Tasks[_ShownFcstStart],Tasks[[#This Row],[_Row]]+Tasks[[#This Row],[_Descendants]])),Tasks[[#This Row],[_ShownFcstStart]]))</f>
        <v/>
      </c>
      <c r="AB139" s="25" t="str">
        <f aca="false">IF(Tasks[[#This Row],[Task Name]]="","",IF(Tasks[[#This Row],[_IsSummary]],MAX(INDEX(Tasks[_ShownFcstFinish],Tasks[[#This Row],[_Row]]+1):INDEX(Tasks[_ShownFcstFinish],Tasks[[#This Row],[_Row]]+Tasks[[#This Row],[_Descendants]])),Tasks[[#This Row],[_ShownFcstFinish]]))</f>
        <v/>
      </c>
      <c r="AC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9" s="25" t="str">
        <f aca="false">IF(Tasks[[#This Row],[Task Name]]="","",IF(Tasks[[#This Row],[_IsSummary]],MIN(INDEX(Tasks[_LeafLateStart],Tasks[[#This Row],[_Row]]+1):INDEX(Tasks[_LeafLateStart],Tasks[[#This Row],[_Row]]+Tasks[[#This Row],[_Descendants]])),Tasks[[#This Row],[_LeafLateStart]]))</f>
        <v/>
      </c>
      <c r="AF139" s="25" t="str">
        <f aca="false">IF(Tasks[[#This Row],[Task Name]]="","",IF(Tasks[[#This Row],[_IsSummary]],MAX(INDEX(Tasks[_LeafLateFinish],Tasks[[#This Row],[_Row]]+1):INDEX(Tasks[_LeafLateFinish],Tasks[[#This Row],[_Row]]+Tasks[[#This Row],[_Descendants]])),Tasks[[#This Row],[_LeafLateFinish]]))</f>
        <v/>
      </c>
      <c r="AG139" s="28" t="str">
        <f aca="false">IF(Tasks[[#This Row],[Task Name]]="","",IF(Tasks[[#This Row],[_IsSummary]],MIN(INDEX(Tasks[_LeafTotalSlack],Tasks[[#This Row],[_Row]]+1):INDEX(Tasks[_LeafTotalSlack],Tasks[[#This Row],[_Row]]+Tasks[[#This Row],[_Descendants]])),Tasks[[#This Row],[_LeafTotalSlack]]))</f>
        <v/>
      </c>
      <c r="AH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9" s="28" t="str">
        <f aca="false">IF(Tasks[[#This Row],[Task Name]]="","",IF(IF(Tasks[[#This Row],[_IsSummary]],COUNTIF(INDEX(Tasks[_LeafCritical],Tasks[[#This Row],[_Row]]+1):INDEX(Tasks[_LeafCritical],Tasks[[#This Row],[_Row]]+Tasks[[#This Row],[_Descendants]]),TRUE())&gt;0,Tasks[[#This Row],[_LeafCritical]]),"Yes",""))</f>
        <v/>
      </c>
      <c r="AJ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9" s="89"/>
      <c r="AM1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9" s="28" t="str">
        <f aca="false">IF(Tasks[[#This Row],[Task Name]]="","",IF(Tasks[[#This Row],[Progress]]&gt;=1,"Complete",IF(OR(N(Tasks[[#This Row],[Actual Start]])&gt;0,Tasks[[#This Row],[Progress]]&gt;0),IF(Tasks[[#This Row],[Finish Var]]&gt;0,"Behind","In Progress"),IF(Tasks[[#This Row],[Planned Start]]&lt;StatusDate,"Late Start","Not Started"))))</f>
        <v/>
      </c>
      <c r="AO139" s="30"/>
      <c r="AP139" s="89"/>
      <c r="AQ1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9" s="96" t="str">
        <f aca="false">IF(Tasks[[#This Row],[Task Name]]="","",IF(Tasks[[#This Row],[_IsSummary]],SUM(INDEX(Tasks[_LeafTotalWork],Tasks[[#This Row],[_Row]]+1):INDEX(Tasks[_LeafTotalWork],Tasks[[#This Row],[_Row]]+Tasks[[#This Row],[_Descendants]])),Tasks[[#This Row],[_LeafTotalWork]]))</f>
        <v/>
      </c>
      <c r="AT139" s="97" t="str">
        <f aca="false">IF(Tasks[[#This Row],[Task Name]]="","",IF(Tasks[[#This Row],[_IsSummary]],SUM(INDEX(Tasks[_LeafTotalCost],Tasks[[#This Row],[_Row]]+1):INDEX(Tasks[_LeafTotalCost],Tasks[[#This Row],[_Row]]+Tasks[[#This Row],[_Descendants]])),Tasks[[#This Row],[_LeafTotalCost]]))</f>
        <v/>
      </c>
      <c r="AU139" s="98"/>
      <c r="AV139" s="29"/>
      <c r="AW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9" s="83"/>
      <c r="AY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9" s="30"/>
      <c r="BA139" s="25" t="str">
        <f aca="false">IF(Tasks[[#This Row],[Task Name]]="","",Tasks[[#This Row],[Forecast Start]])</f>
        <v/>
      </c>
      <c r="BB139" s="25" t="str">
        <f aca="false">IF(Tasks[[#This Row],[Task Name]]="","",Tasks[[#This Row],[Forecast Finish]])</f>
        <v/>
      </c>
      <c r="BC139" s="28" t="str">
        <f aca="false">IF(Tasks[[#This Row],[Task Name]]="","",IF(Tasks[[#This Row],[_IsSummary]],NETWORKDAYS.INTL(Tasks[[#This Row],[Forecast Start]],Tasks[[#This Row],[Forecast Finish]],WorkWeek,Holidays),N(Tasks[[#This Row],[Duration]])))</f>
        <v/>
      </c>
      <c r="BD139" s="96" t="str">
        <f aca="false">IF(Tasks[[#This Row],[Task Name]]="","",Tasks[[#This Row],[Work]])</f>
        <v/>
      </c>
      <c r="BE139" s="97" t="str">
        <f aca="false">IF(Tasks[[#This Row],[Task Name]]="","",Tasks[[#This Row],[Cost]])</f>
        <v/>
      </c>
      <c r="BF139" s="75"/>
      <c r="BG139" s="75"/>
      <c r="BH139" s="29"/>
      <c r="BI139" s="99"/>
      <c r="BJ139" s="98"/>
      <c r="BK139" s="28" t="str">
        <f aca="false">IF(OR(Tasks[[#This Row],[Task Name]]="",Tasks[[#This Row],[Baseline Duration]]=""),"",Tasks[[#This Row],[BL Source Duration]]-N(Tasks[[#This Row],[Baseline Duration]]))</f>
        <v/>
      </c>
      <c r="BL139" s="96" t="str">
        <f aca="false">IF(OR(Tasks[[#This Row],[Task Name]]="",Tasks[[#This Row],[Baseline Work]]=""),"",Tasks[[#This Row],[Work]]-N(Tasks[[#This Row],[Baseline Work]]))</f>
        <v/>
      </c>
      <c r="BM139" s="97" t="str">
        <f aca="false">IF(OR(Tasks[[#This Row],[Task Name]]="",Tasks[[#This Row],[Baseline Cost]]=""),"",Tasks[[#This Row],[Cost]]-N(Tasks[[#This Row],[Baseline Cost]]))</f>
        <v/>
      </c>
      <c r="BN139" s="97" t="str">
        <f aca="false">IF(Tasks[[#This Row],[Task Name]]="","",IF(Tasks[[#This Row],[_IsSummary]],SUM(INDEX(Tasks[_LeafBudget],Tasks[[#This Row],[_Row]]+1):INDEX(Tasks[_LeafBudget],Tasks[[#This Row],[_Row]]+Tasks[[#This Row],[_Descendants]])),Tasks[[#This Row],[_LeafBudget]]))</f>
        <v/>
      </c>
      <c r="BO139" s="97" t="str">
        <f aca="false">IF(Tasks[[#This Row],[Task Name]]="","",IF(Tasks[[#This Row],[_IsSummary]],SUM(INDEX(Tasks[_LeafPV],Tasks[[#This Row],[_Row]]+1):INDEX(Tasks[_LeafPV],Tasks[[#This Row],[_Row]]+Tasks[[#This Row],[_Descendants]])),Tasks[[#This Row],[_LeafPV]]))</f>
        <v/>
      </c>
      <c r="BP139" s="97" t="str">
        <f aca="false">IF(Tasks[[#This Row],[Task Name]]="","",IF(Tasks[[#This Row],[_IsSummary]],SUM(INDEX(Tasks[_LeafEV],Tasks[[#This Row],[_Row]]+1):INDEX(Tasks[_LeafEV],Tasks[[#This Row],[_Row]]+Tasks[[#This Row],[_Descendants]])),Tasks[[#This Row],[_LeafEV]]))</f>
        <v/>
      </c>
      <c r="BQ139" s="97" t="str">
        <f aca="false">IF(Tasks[[#This Row],[Task Name]]="","",IF(Tasks[[#This Row],[_IsSummary]],SUM(INDEX(Tasks[_LeafAC],Tasks[[#This Row],[_Row]]+1):INDEX(Tasks[_LeafAC],Tasks[[#This Row],[_Row]]+Tasks[[#This Row],[_Descendants]])),Tasks[[#This Row],[_LeafAC]]))</f>
        <v/>
      </c>
      <c r="BR139" s="41" t="str">
        <f aca="false">IF(Tasks[[#This Row],[Task Name]]="","",MAX(1,N(Tasks[[#This Row],[Level]])))</f>
        <v/>
      </c>
      <c r="BS139" s="41" t="n">
        <f aca="false">ROW()-ROW(Tasks[[#Headers],[ID]])</f>
        <v>134</v>
      </c>
      <c r="BT139" s="41" t="n">
        <f aca="false">IF(OR(Tasks[[#This Row],[Task Name]]="",Tasks[[#This Row],[_Level]]&lt;=1),0,IFERROR(LOOKUP(2,1/(Tasks[[#Headers],[_Level]]:Tasks[[#This Row],[_Level]]=Tasks[[#This Row],[_Level]]-1),ROW(Tasks[[#Headers],[_Level]]:Tasks[[#This Row],[_Level]])),0))</f>
        <v>0</v>
      </c>
      <c r="BU139" s="41" t="n">
        <f aca="false">IFERROR(N(INDEX(Tasks[_Level],Tasks[[#This Row],[_Row]]+1)),0)</f>
        <v>0</v>
      </c>
      <c r="BV139" s="100" t="b">
        <f aca="false">AND(Tasks[[#This Row],[Task Name]]&lt;&gt;"",Tasks[[#This Row],[_NextLevel]]&gt;Tasks[[#This Row],[_Level]])</f>
        <v>0</v>
      </c>
      <c r="BW139" s="41" t="n">
        <f aca="false">IF(Tasks[[#This Row],[_IsSummary]],COUNTIF(Tasks[WBS],Tasks[[#This Row],[WBS]]&amp;".*"),0)</f>
        <v>0</v>
      </c>
      <c r="BX139" s="41" t="n">
        <f aca="false">IF(AND(Tasks[[#This Row],[Task Name]]&lt;&gt;"",NOT(Tasks[[#This Row],[_IsSummary]])),1,0)</f>
        <v>0</v>
      </c>
      <c r="BY139" s="41" t="n">
        <f aca="false">IF(N(Tasks[[#This Row],[Pred1 UID]])=0,0,IFERROR(MATCH(Tasks[[#This Row],[Pred1 UID]],Tasks[UID],0),-1))</f>
        <v>0</v>
      </c>
      <c r="BZ139" s="41" t="n">
        <f aca="false">IF(N(Tasks[[#This Row],[Pred2 UID]])=0,0,IFERROR(MATCH(Tasks[[#This Row],[Pred2 UID]],Tasks[UID],0),-1))</f>
        <v>0</v>
      </c>
      <c r="CA139" s="41" t="n">
        <f aca="false">IF(N(Tasks[[#This Row],[Pred3 UID]])=0,0,IFERROR(MATCH(Tasks[[#This Row],[Pred3 UID]],Tasks[UID],0),-1))</f>
        <v>0</v>
      </c>
      <c r="CB139" s="41" t="n">
        <f aca="false">IF(N(Tasks[[#This Row],[Pred4 UID]])=0,0,IFERROR(MATCH(Tasks[[#This Row],[Pred4 UID]],Tasks[UID],0),-1))</f>
        <v>0</v>
      </c>
      <c r="CC1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9" s="101" t="n">
        <f aca="false">IF(OR(Tasks[[#This Row],[_ConstraintCode]]=2,Tasks[[#This Row],[_ConstraintCode]]=3,Tasks[[#This Row],[_ConstraintCode]]=4,Tasks[[#This Row],[_ConstraintCode]]=6),Tasks[[#This Row],[_ConstraintStart]],0)</f>
        <v>0</v>
      </c>
      <c r="CF139" s="101" t="n">
        <f aca="false">IF(OR(Tasks[[#This Row],[_ConstraintCode]]=2,Tasks[[#This Row],[_ConstraintCode]]=3,Tasks[[#This Row],[_ConstraintCode]]=5,Tasks[[#This Row],[_ConstraintCode]]=7),Tasks[[#This Row],[_ConstraintStart]],2958465)</f>
        <v>2958465</v>
      </c>
      <c r="CG13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9" s="101" t="str">
        <f aca="false">IF(NOT(Tasks[[#This Row],[_IsLeaf]]=1),"",IF(N(Tasks[[#This Row],[Duration]])&lt;=0,Tasks[[#This Row],[_LeafCalcStart]],WORKDAY.INTL(Tasks[[#This Row],[_LeafCalcStart]],Tasks[[#This Row],[Duration]]-1,WorkWeek,Holidays)))</f>
        <v/>
      </c>
      <c r="CI13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9" s="41" t="n">
        <f aca="false">IF(NOT(Tasks[[#This Row],[_IsLeaf]]=1),0,IF(N(Tasks[[#This Row],[Actual Finish]])&gt;0,1,MIN(1,N(Tasks[[#This Row],[% Complete]]))))</f>
        <v>0</v>
      </c>
      <c r="CL139" s="41" t="n">
        <f aca="false">IF(OR(NOT(Tasks[[#This Row],[_IsLeaf]]=1),Tasks[[#This Row],[Resource]]=""),0,N(Tasks[[#This Row],[Duration]])*HoursPerDay*IF(Tasks[[#This Row],[Units]]="",DefaultUnits,Tasks[[#This Row],[Units]]))</f>
        <v>0</v>
      </c>
      <c r="CM139" s="41" t="n">
        <f aca="false">IF(Tasks[[#This Row],[_LeafWork]]=0,0,Tasks[[#This Row],[_LeafWork]]*IFERROR(INDEX(res_Rate,MATCH(Tasks[[#This Row],[Resource]],res_Name,0)),0))</f>
        <v>0</v>
      </c>
      <c r="CN139" s="41" t="n">
        <f aca="false">Tasks[[#This Row],[_LeafWork]]+IF(Tasks[[#This Row],[_IsLeaf]]=1,SUMIFS(asg_Work,asg_TaskUID,Tasks[[#This Row],[UID]],asg_Valid,1),0)</f>
        <v>0</v>
      </c>
      <c r="CO139" s="41" t="n">
        <f aca="false">Tasks[[#This Row],[_LeafCost]]+IF(Tasks[[#This Row],[_IsLeaf]]=1,SUMIFS(asg_Cost,asg_TaskUID,Tasks[[#This Row],[UID]],asg_Valid,1),0)</f>
        <v>0</v>
      </c>
      <c r="CP139" s="41" t="n">
        <f aca="false">IF(Tasks[[#This Row],[_LeafTotalCost]]=0,Tasks[[#This Row],[_LeafAC]],Tasks[[#This Row],[_LeafAC]]*Tasks[[#This Row],[_LeafCost]]/Tasks[[#This Row],[_LeafTotalCost]])</f>
        <v>0</v>
      </c>
      <c r="CQ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9" s="41" t="n">
        <f aca="false">IF(NOT(Tasks[[#This Row],[_IsLeaf]]=1),0,MAX(_xlfn.MAXIFS(Tasks[_Row],Tasks[Pred1 UID],Tasks[[#This Row],[UID]]),_xlfn.MAXIFS(Tasks[_Row],Tasks[Pred2 UID],Tasks[[#This Row],[UID]]),_xlfn.MAXIFS(Tasks[_Row],Tasks[Pred3 UID],Tasks[[#This Row],[UID]]),_xlfn.MAXIFS(Tasks[_Row],Tasks[Pred4 UID],Tasks[[#This Row],[UID]])))</f>
        <v>0</v>
      </c>
      <c r="CZ1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9" s="101" t="str">
        <f aca="false">IF(NOT(Tasks[[#This Row],[_IsLeaf]]=1),"",IF(N(Tasks[[#This Row],[Duration]])&lt;=0,Tasks[[#This Row],[_LeafLateFinish]],WORKDAY.INTL(Tasks[[#This Row],[_LeafLateFinish]],-(Tasks[[#This Row],[Duration]]-1),WorkWeek,Holidays)))</f>
        <v/>
      </c>
      <c r="DC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9" s="100" t="b">
        <f aca="false">AND(Tasks[[#This Row],[_IsLeaf]]=1,Tasks[[#This Row],[_LeafProgress]]&lt;1,N(Tasks[[#This Row],[_LeafTotalSlack]])&lt;=CriticalSlackDays)</f>
        <v>0</v>
      </c>
      <c r="DE139" s="41" t="n">
        <f aca="false">IF(AND(Tasks[[#This Row],[_IsLeaf]]=1,Tasks[[#This Row],[_ConstraintCode]]=1,Tasks[[#This Row],[Mode]]&lt;&gt;"Manual",N(Tasks[[#This Row],[Actual Start]])=0),MAX(0,N(Tasks[[#This Row],[Free Slack]])),0)</f>
        <v>0</v>
      </c>
      <c r="DF139" s="101" t="str">
        <f aca="false">IF(NOT(Tasks[[#This Row],[_IsLeaf]]=1),"",IF(Tasks[[#This Row],[_AlapShift]]=0,Tasks[[#This Row],[_LeafCalcStart]],WORKDAY.INTL(Tasks[[#This Row],[_LeafCalcStart]],Tasks[[#This Row],[_AlapShift]],WorkWeek,Holidays)))</f>
        <v/>
      </c>
      <c r="DG139" s="101" t="str">
        <f aca="false">IF(NOT(Tasks[[#This Row],[_IsLeaf]]=1),"",IF(Tasks[[#This Row],[_AlapShift]]=0,Tasks[[#This Row],[_LeafCalcFinish]],WORKDAY.INTL(Tasks[[#This Row],[_LeafCalcFinish]],Tasks[[#This Row],[_AlapShift]],WorkWeek,Holidays)))</f>
        <v/>
      </c>
      <c r="DH139" s="101" t="str">
        <f aca="false">IF(NOT(Tasks[[#This Row],[_IsLeaf]]=1),"",IF(Tasks[[#This Row],[_AlapShift]]=0,Tasks[[#This Row],[_LeafFcstStart]],WORKDAY.INTL(Tasks[[#This Row],[_LeafFcstStart]],Tasks[[#This Row],[_AlapShift]],WorkWeek,Holidays)))</f>
        <v/>
      </c>
      <c r="DI139" s="101" t="str">
        <f aca="false">IF(NOT(Tasks[[#This Row],[_IsLeaf]]=1),"",IF(Tasks[[#This Row],[_AlapShift]]=0,Tasks[[#This Row],[_LeafFcstFinish]],WORKDAY.INTL(Tasks[[#This Row],[_LeafFcstFinish]],Tasks[[#This Row],[_AlapShift]],WorkWeek,Holidays)))</f>
        <v/>
      </c>
      <c r="DJ139" s="101" t="str">
        <f aca="false">IF(Tasks[[#This Row],[Task Name]]="","",IF(Tasks[[#This Row],[_IsSummary]],MIN(INDEX(Tasks[_ShownCalcStart],Tasks[[#This Row],[_Row]]+1):INDEX(Tasks[_ShownCalcStart],Tasks[[#This Row],[_Row]]+Tasks[[#This Row],[_Descendants]])),Tasks[[#This Row],[_ShownCalcStart]]))</f>
        <v/>
      </c>
      <c r="DK139" s="101" t="str">
        <f aca="false">IF(Tasks[[#This Row],[Task Name]]="","",IF(Tasks[[#This Row],[_IsSummary]],MAX(INDEX(Tasks[_ShownCalcFinish],Tasks[[#This Row],[_Row]]+1):INDEX(Tasks[_ShownCalcFinish],Tasks[[#This Row],[_Row]]+Tasks[[#This Row],[_Descendants]])),Tasks[[#This Row],[_ShownCalcFinish]]))</f>
        <v/>
      </c>
      <c r="D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9" s="41" t="n">
        <f aca="false">IF(AND(Tasks[[#This Row],[_IsLeaf]]=1,Tasks[[#This Row],[_LeafTotalWork]]&gt;0),NETWORKDAYS.INTL(ProjectStart,Tasks[[#This Row],[_ShownFcstStart]],WorkWeek,Holidays),0)</f>
        <v>0</v>
      </c>
      <c r="DY139" s="41" t="n">
        <f aca="false">IF(AND(Tasks[[#This Row],[_IsLeaf]]=1,Tasks[[#This Row],[_LeafTotalWork]]&gt;0),MAX(Tasks[[#This Row],[_StartWorkday]],NETWORKDAYS.INTL(ProjectStart,Tasks[[#This Row],[_ShownFcstFinish]],WorkWeek,Holidays)),0)</f>
        <v>0</v>
      </c>
      <c r="DZ139" s="41" t="n">
        <f aca="false">IF(AND(Tasks[[#This Row],[_IsLeaf]]=1,Tasks[[#This Row],[_LeafTotalWork]]&gt;0),Tasks[[#This Row],[_LeafWork]]/(Tasks[[#This Row],[_FinishWorkday]]-Tasks[[#This Row],[_StartWorkday]]+1),0)</f>
        <v>0</v>
      </c>
      <c r="EA139" s="41" t="n">
        <f aca="false">Tasks[[#This Row],[_WorkPerWorkday]]*(Tasks[[#This Row],[_StartWorkday]]-1)</f>
        <v>-0</v>
      </c>
      <c r="EB139" s="41" t="n">
        <f aca="false">IF(Tasks[[#This Row],[_IsLeaf]]=1,MAX(N(Tasks[[#This Row],[Duration]]),0.1),0)</f>
        <v>0</v>
      </c>
      <c r="EC139" s="41" t="n">
        <f aca="false">Tasks[[#This Row],[_WeightDur]]*Tasks[[#This Row],[_LeafProgress]]</f>
        <v>0</v>
      </c>
      <c r="ED1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9" s="41" t="str">
        <f aca="false">IF(AND(Tasks[[#This Row],[_IsLeaf]]=1,N(Tasks[[#This Row],[Duration]])=0,Tasks[[#This Row],[_LeafProgress]]&lt;1),Tasks[[#This Row],[_ShownFcstFinish]]+Tasks[[#This Row],[_Row]]/100000,"")</f>
        <v/>
      </c>
      <c r="EF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9" s="41" t="n">
        <f aca="false">IF(NOT(Tasks[[#This Row],[_IsLeaf]]=1),0,IF(Tasks[[#This Row],[Baseline Cost]]="",Tasks[[#This Row],[_LeafTotalCost]],N(Tasks[[#This Row],[Baseline Cost]])))</f>
        <v>0</v>
      </c>
      <c r="EH139" s="41" t="n">
        <f aca="false">Tasks[[#This Row],[_LeafBudget]]*Tasks[[#This Row],[_PlannedPct]]</f>
        <v>0</v>
      </c>
      <c r="EI139" s="41" t="n">
        <f aca="false">Tasks[[#This Row],[_LeafBudget]]*Tasks[[#This Row],[_LeafProgress]]</f>
        <v>0</v>
      </c>
      <c r="EJ139" s="41" t="n">
        <f aca="false">IF(NOT(Tasks[[#This Row],[_IsLeaf]]=1),0,IF(Tasks[[#This Row],[Actual Cost]]="",Tasks[[#This Row],[_LeafTotalCost]]*Tasks[[#This Row],[_LeafProgress]],N(Tasks[[#This Row],[Actual Cost]])))</f>
        <v>0</v>
      </c>
      <c r="EK139" s="41" t="str">
        <f aca="false">IF(Tasks[[#This Row],[Task Name]]="","",LEFT(Tasks[[#This Row],[WBS]],FIND(".",Tasks[[#This Row],[WBS]]&amp;".")-1))</f>
        <v/>
      </c>
      <c r="EL139" s="41" t="str">
        <f aca="false">IF(AND(Tasks[[#This Row],[Task Name]]&lt;&gt;"",Tasks[[#This Row],[_Level]]=1),Tasks[[#This Row],[_Row]],"")</f>
        <v/>
      </c>
      <c r="EM139" s="41" t="str">
        <f aca="false">IF(AND(Tasks[[#This Row],[_IsLeaf]]=1,N(Tasks[[#This Row],[Duration]])=0),Tasks[[#This Row],[Planned Finish]]+Tasks[[#This Row],[_Row]]/100000,"")</f>
        <v/>
      </c>
      <c r="EN139" s="41" t="str">
        <f aca="false">IF(AND(Tasks[[#This Row],[_IsLeaf]]=1,Tasks[[#This Row],[_LeafProgress]]&lt;1,OR(N(Tasks[[#This Row],[Finish Var]])&gt;0,Tasks[[#This Row],[Status]]="Late Start")),MAX(0,Tasks[[#This Row],[Finish Var]])+1-Tasks[[#This Row],[_Row]]/1000000,"")</f>
        <v/>
      </c>
      <c r="EO139" s="41" t="str">
        <f aca="false">IF(AND(Tasks[[#This Row],[_IsLeaf]]=1,N(Tasks[[#This Row],[Actual Start]])=0,Tasks[[#This Row],[_ShownFcstStart]]&gt;=StatusDate,Tasks[[#This Row],[_ShownFcstStart]]&lt;=LookaheadEnd),Tasks[[#This Row],[_ShownFcstStart]]+Tasks[[#This Row],[_Row]]/100000,"")</f>
        <v/>
      </c>
      <c r="EP139" s="41" t="str">
        <f aca="false">IF(AND(Tasks[[#This Row],[_IsLeaf]]=1,Tasks[[#This Row],[_LeafProgress]]&lt;1,Tasks[[#This Row],[_ShownFcstFinish]]&gt;=StatusDate,Tasks[[#This Row],[_ShownFcstFinish]]&lt;=LookaheadEnd),Tasks[[#This Row],[_ShownFcstFinish]]+Tasks[[#This Row],[_Row]]/100000,"")</f>
        <v/>
      </c>
      <c r="EQ139" s="41" t="str">
        <f aca="false">IF(Tasks[[#This Row],[_LeafCritical]],Tasks[[#This Row],[_ShownFcstStart]]+Tasks[[#This Row],[_Row]]/100000,"")</f>
        <v/>
      </c>
      <c r="ER139" s="41" t="n">
        <f aca="false">Tasks[[#This Row],[_LeafWork]]*Tasks[[#This Row],[_LeafProgress]]</f>
        <v>0</v>
      </c>
      <c r="ES139" s="101" t="str">
        <f aca="false">IF(AND(Tasks[[#This Row],[_IsLeaf]]=1,Tasks[[#This Row],[_LeafProgress]]&gt;=1),IF(N(Tasks[[#This Row],[Actual Finish]])&gt;0,Tasks[[#This Row],[Actual Finish]],Tasks[[#This Row],[_ShownFcstFinish]]),"")</f>
        <v/>
      </c>
      <c r="ET139" s="41" t="n">
        <f aca="false">IF(Tasks[[#This Row],[_IsLeaf]]=1,N(Tasks[[#This Row],[Story Points]]),0)</f>
        <v>0</v>
      </c>
      <c r="EU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29"/>
      <c r="O140" s="29"/>
      <c r="P140" s="29"/>
      <c r="Q140" s="29"/>
      <c r="R140" s="29"/>
      <c r="S140" s="29"/>
      <c r="T140" s="30"/>
      <c r="U140" s="75"/>
      <c r="V140" s="75"/>
      <c r="W140" s="25" t="str">
        <f aca="false">IF(Tasks[[#This Row],[Task Name]]="","",IF(N(Tasks[[#This Row],[Baseline Start]])&gt;0,Tasks[[#This Row],[Baseline Start]],Tasks[[#This Row],[_CalcStart]]))</f>
        <v/>
      </c>
      <c r="X140" s="25" t="str">
        <f aca="false">IF(Tasks[[#This Row],[Task Name]]="","",IF(N(Tasks[[#This Row],[Baseline Finish]])&gt;0,Tasks[[#This Row],[Baseline Finish]],Tasks[[#This Row],[_CalcFinish]]))</f>
        <v/>
      </c>
      <c r="Y140" s="75"/>
      <c r="Z140" s="75"/>
      <c r="AA140" s="25" t="str">
        <f aca="false">IF(Tasks[[#This Row],[Task Name]]="","",IF(Tasks[[#This Row],[_IsSummary]],MIN(INDEX(Tasks[_ShownFcstStart],Tasks[[#This Row],[_Row]]+1):INDEX(Tasks[_ShownFcstStart],Tasks[[#This Row],[_Row]]+Tasks[[#This Row],[_Descendants]])),Tasks[[#This Row],[_ShownFcstStart]]))</f>
        <v/>
      </c>
      <c r="AB140" s="25" t="str">
        <f aca="false">IF(Tasks[[#This Row],[Task Name]]="","",IF(Tasks[[#This Row],[_IsSummary]],MAX(INDEX(Tasks[_ShownFcstFinish],Tasks[[#This Row],[_Row]]+1):INDEX(Tasks[_ShownFcstFinish],Tasks[[#This Row],[_Row]]+Tasks[[#This Row],[_Descendants]])),Tasks[[#This Row],[_ShownFcstFinish]]))</f>
        <v/>
      </c>
      <c r="AC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0" s="25" t="str">
        <f aca="false">IF(Tasks[[#This Row],[Task Name]]="","",IF(Tasks[[#This Row],[_IsSummary]],MIN(INDEX(Tasks[_LeafLateStart],Tasks[[#This Row],[_Row]]+1):INDEX(Tasks[_LeafLateStart],Tasks[[#This Row],[_Row]]+Tasks[[#This Row],[_Descendants]])),Tasks[[#This Row],[_LeafLateStart]]))</f>
        <v/>
      </c>
      <c r="AF140" s="25" t="str">
        <f aca="false">IF(Tasks[[#This Row],[Task Name]]="","",IF(Tasks[[#This Row],[_IsSummary]],MAX(INDEX(Tasks[_LeafLateFinish],Tasks[[#This Row],[_Row]]+1):INDEX(Tasks[_LeafLateFinish],Tasks[[#This Row],[_Row]]+Tasks[[#This Row],[_Descendants]])),Tasks[[#This Row],[_LeafLateFinish]]))</f>
        <v/>
      </c>
      <c r="AG140" s="28" t="str">
        <f aca="false">IF(Tasks[[#This Row],[Task Name]]="","",IF(Tasks[[#This Row],[_IsSummary]],MIN(INDEX(Tasks[_LeafTotalSlack],Tasks[[#This Row],[_Row]]+1):INDEX(Tasks[_LeafTotalSlack],Tasks[[#This Row],[_Row]]+Tasks[[#This Row],[_Descendants]])),Tasks[[#This Row],[_LeafTotalSlack]]))</f>
        <v/>
      </c>
      <c r="AH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0" s="28" t="str">
        <f aca="false">IF(Tasks[[#This Row],[Task Name]]="","",IF(IF(Tasks[[#This Row],[_IsSummary]],COUNTIF(INDEX(Tasks[_LeafCritical],Tasks[[#This Row],[_Row]]+1):INDEX(Tasks[_LeafCritical],Tasks[[#This Row],[_Row]]+Tasks[[#This Row],[_Descendants]]),TRUE())&gt;0,Tasks[[#This Row],[_LeafCritical]]),"Yes",""))</f>
        <v/>
      </c>
      <c r="AJ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0" s="89"/>
      <c r="AM1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0" s="28" t="str">
        <f aca="false">IF(Tasks[[#This Row],[Task Name]]="","",IF(Tasks[[#This Row],[Progress]]&gt;=1,"Complete",IF(OR(N(Tasks[[#This Row],[Actual Start]])&gt;0,Tasks[[#This Row],[Progress]]&gt;0),IF(Tasks[[#This Row],[Finish Var]]&gt;0,"Behind","In Progress"),IF(Tasks[[#This Row],[Planned Start]]&lt;StatusDate,"Late Start","Not Started"))))</f>
        <v/>
      </c>
      <c r="AO140" s="30"/>
      <c r="AP140" s="89"/>
      <c r="AQ1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0" s="96" t="str">
        <f aca="false">IF(Tasks[[#This Row],[Task Name]]="","",IF(Tasks[[#This Row],[_IsSummary]],SUM(INDEX(Tasks[_LeafTotalWork],Tasks[[#This Row],[_Row]]+1):INDEX(Tasks[_LeafTotalWork],Tasks[[#This Row],[_Row]]+Tasks[[#This Row],[_Descendants]])),Tasks[[#This Row],[_LeafTotalWork]]))</f>
        <v/>
      </c>
      <c r="AT140" s="97" t="str">
        <f aca="false">IF(Tasks[[#This Row],[Task Name]]="","",IF(Tasks[[#This Row],[_IsSummary]],SUM(INDEX(Tasks[_LeafTotalCost],Tasks[[#This Row],[_Row]]+1):INDEX(Tasks[_LeafTotalCost],Tasks[[#This Row],[_Row]]+Tasks[[#This Row],[_Descendants]])),Tasks[[#This Row],[_LeafTotalCost]]))</f>
        <v/>
      </c>
      <c r="AU140" s="98"/>
      <c r="AV140" s="29"/>
      <c r="AW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0" s="83"/>
      <c r="AY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0" s="30"/>
      <c r="BA140" s="25" t="str">
        <f aca="false">IF(Tasks[[#This Row],[Task Name]]="","",Tasks[[#This Row],[Forecast Start]])</f>
        <v/>
      </c>
      <c r="BB140" s="25" t="str">
        <f aca="false">IF(Tasks[[#This Row],[Task Name]]="","",Tasks[[#This Row],[Forecast Finish]])</f>
        <v/>
      </c>
      <c r="BC140" s="28" t="str">
        <f aca="false">IF(Tasks[[#This Row],[Task Name]]="","",IF(Tasks[[#This Row],[_IsSummary]],NETWORKDAYS.INTL(Tasks[[#This Row],[Forecast Start]],Tasks[[#This Row],[Forecast Finish]],WorkWeek,Holidays),N(Tasks[[#This Row],[Duration]])))</f>
        <v/>
      </c>
      <c r="BD140" s="96" t="str">
        <f aca="false">IF(Tasks[[#This Row],[Task Name]]="","",Tasks[[#This Row],[Work]])</f>
        <v/>
      </c>
      <c r="BE140" s="97" t="str">
        <f aca="false">IF(Tasks[[#This Row],[Task Name]]="","",Tasks[[#This Row],[Cost]])</f>
        <v/>
      </c>
      <c r="BF140" s="75"/>
      <c r="BG140" s="75"/>
      <c r="BH140" s="29"/>
      <c r="BI140" s="99"/>
      <c r="BJ140" s="98"/>
      <c r="BK140" s="28" t="str">
        <f aca="false">IF(OR(Tasks[[#This Row],[Task Name]]="",Tasks[[#This Row],[Baseline Duration]]=""),"",Tasks[[#This Row],[BL Source Duration]]-N(Tasks[[#This Row],[Baseline Duration]]))</f>
        <v/>
      </c>
      <c r="BL140" s="96" t="str">
        <f aca="false">IF(OR(Tasks[[#This Row],[Task Name]]="",Tasks[[#This Row],[Baseline Work]]=""),"",Tasks[[#This Row],[Work]]-N(Tasks[[#This Row],[Baseline Work]]))</f>
        <v/>
      </c>
      <c r="BM140" s="97" t="str">
        <f aca="false">IF(OR(Tasks[[#This Row],[Task Name]]="",Tasks[[#This Row],[Baseline Cost]]=""),"",Tasks[[#This Row],[Cost]]-N(Tasks[[#This Row],[Baseline Cost]]))</f>
        <v/>
      </c>
      <c r="BN140" s="97" t="str">
        <f aca="false">IF(Tasks[[#This Row],[Task Name]]="","",IF(Tasks[[#This Row],[_IsSummary]],SUM(INDEX(Tasks[_LeafBudget],Tasks[[#This Row],[_Row]]+1):INDEX(Tasks[_LeafBudget],Tasks[[#This Row],[_Row]]+Tasks[[#This Row],[_Descendants]])),Tasks[[#This Row],[_LeafBudget]]))</f>
        <v/>
      </c>
      <c r="BO140" s="97" t="str">
        <f aca="false">IF(Tasks[[#This Row],[Task Name]]="","",IF(Tasks[[#This Row],[_IsSummary]],SUM(INDEX(Tasks[_LeafPV],Tasks[[#This Row],[_Row]]+1):INDEX(Tasks[_LeafPV],Tasks[[#This Row],[_Row]]+Tasks[[#This Row],[_Descendants]])),Tasks[[#This Row],[_LeafPV]]))</f>
        <v/>
      </c>
      <c r="BP140" s="97" t="str">
        <f aca="false">IF(Tasks[[#This Row],[Task Name]]="","",IF(Tasks[[#This Row],[_IsSummary]],SUM(INDEX(Tasks[_LeafEV],Tasks[[#This Row],[_Row]]+1):INDEX(Tasks[_LeafEV],Tasks[[#This Row],[_Row]]+Tasks[[#This Row],[_Descendants]])),Tasks[[#This Row],[_LeafEV]]))</f>
        <v/>
      </c>
      <c r="BQ140" s="97" t="str">
        <f aca="false">IF(Tasks[[#This Row],[Task Name]]="","",IF(Tasks[[#This Row],[_IsSummary]],SUM(INDEX(Tasks[_LeafAC],Tasks[[#This Row],[_Row]]+1):INDEX(Tasks[_LeafAC],Tasks[[#This Row],[_Row]]+Tasks[[#This Row],[_Descendants]])),Tasks[[#This Row],[_LeafAC]]))</f>
        <v/>
      </c>
      <c r="BR140" s="41" t="str">
        <f aca="false">IF(Tasks[[#This Row],[Task Name]]="","",MAX(1,N(Tasks[[#This Row],[Level]])))</f>
        <v/>
      </c>
      <c r="BS140" s="41" t="n">
        <f aca="false">ROW()-ROW(Tasks[[#Headers],[ID]])</f>
        <v>135</v>
      </c>
      <c r="BT140" s="41" t="n">
        <f aca="false">IF(OR(Tasks[[#This Row],[Task Name]]="",Tasks[[#This Row],[_Level]]&lt;=1),0,IFERROR(LOOKUP(2,1/(Tasks[[#Headers],[_Level]]:Tasks[[#This Row],[_Level]]=Tasks[[#This Row],[_Level]]-1),ROW(Tasks[[#Headers],[_Level]]:Tasks[[#This Row],[_Level]])),0))</f>
        <v>0</v>
      </c>
      <c r="BU140" s="41" t="n">
        <f aca="false">IFERROR(N(INDEX(Tasks[_Level],Tasks[[#This Row],[_Row]]+1)),0)</f>
        <v>0</v>
      </c>
      <c r="BV140" s="100" t="b">
        <f aca="false">AND(Tasks[[#This Row],[Task Name]]&lt;&gt;"",Tasks[[#This Row],[_NextLevel]]&gt;Tasks[[#This Row],[_Level]])</f>
        <v>0</v>
      </c>
      <c r="BW140" s="41" t="n">
        <f aca="false">IF(Tasks[[#This Row],[_IsSummary]],COUNTIF(Tasks[WBS],Tasks[[#This Row],[WBS]]&amp;".*"),0)</f>
        <v>0</v>
      </c>
      <c r="BX140" s="41" t="n">
        <f aca="false">IF(AND(Tasks[[#This Row],[Task Name]]&lt;&gt;"",NOT(Tasks[[#This Row],[_IsSummary]])),1,0)</f>
        <v>0</v>
      </c>
      <c r="BY140" s="41" t="n">
        <f aca="false">IF(N(Tasks[[#This Row],[Pred1 UID]])=0,0,IFERROR(MATCH(Tasks[[#This Row],[Pred1 UID]],Tasks[UID],0),-1))</f>
        <v>0</v>
      </c>
      <c r="BZ140" s="41" t="n">
        <f aca="false">IF(N(Tasks[[#This Row],[Pred2 UID]])=0,0,IFERROR(MATCH(Tasks[[#This Row],[Pred2 UID]],Tasks[UID],0),-1))</f>
        <v>0</v>
      </c>
      <c r="CA140" s="41" t="n">
        <f aca="false">IF(N(Tasks[[#This Row],[Pred3 UID]])=0,0,IFERROR(MATCH(Tasks[[#This Row],[Pred3 UID]],Tasks[UID],0),-1))</f>
        <v>0</v>
      </c>
      <c r="CB140" s="41" t="n">
        <f aca="false">IF(N(Tasks[[#This Row],[Pred4 UID]])=0,0,IFERROR(MATCH(Tasks[[#This Row],[Pred4 UID]],Tasks[UID],0),-1))</f>
        <v>0</v>
      </c>
      <c r="CC1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0" s="101" t="n">
        <f aca="false">IF(OR(Tasks[[#This Row],[_ConstraintCode]]=2,Tasks[[#This Row],[_ConstraintCode]]=3,Tasks[[#This Row],[_ConstraintCode]]=4,Tasks[[#This Row],[_ConstraintCode]]=6),Tasks[[#This Row],[_ConstraintStart]],0)</f>
        <v>0</v>
      </c>
      <c r="CF140" s="101" t="n">
        <f aca="false">IF(OR(Tasks[[#This Row],[_ConstraintCode]]=2,Tasks[[#This Row],[_ConstraintCode]]=3,Tasks[[#This Row],[_ConstraintCode]]=5,Tasks[[#This Row],[_ConstraintCode]]=7),Tasks[[#This Row],[_ConstraintStart]],2958465)</f>
        <v>2958465</v>
      </c>
      <c r="CG14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0" s="101" t="str">
        <f aca="false">IF(NOT(Tasks[[#This Row],[_IsLeaf]]=1),"",IF(N(Tasks[[#This Row],[Duration]])&lt;=0,Tasks[[#This Row],[_LeafCalcStart]],WORKDAY.INTL(Tasks[[#This Row],[_LeafCalcStart]],Tasks[[#This Row],[Duration]]-1,WorkWeek,Holidays)))</f>
        <v/>
      </c>
      <c r="CI14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0" s="41" t="n">
        <f aca="false">IF(NOT(Tasks[[#This Row],[_IsLeaf]]=1),0,IF(N(Tasks[[#This Row],[Actual Finish]])&gt;0,1,MIN(1,N(Tasks[[#This Row],[% Complete]]))))</f>
        <v>0</v>
      </c>
      <c r="CL140" s="41" t="n">
        <f aca="false">IF(OR(NOT(Tasks[[#This Row],[_IsLeaf]]=1),Tasks[[#This Row],[Resource]]=""),0,N(Tasks[[#This Row],[Duration]])*HoursPerDay*IF(Tasks[[#This Row],[Units]]="",DefaultUnits,Tasks[[#This Row],[Units]]))</f>
        <v>0</v>
      </c>
      <c r="CM140" s="41" t="n">
        <f aca="false">IF(Tasks[[#This Row],[_LeafWork]]=0,0,Tasks[[#This Row],[_LeafWork]]*IFERROR(INDEX(res_Rate,MATCH(Tasks[[#This Row],[Resource]],res_Name,0)),0))</f>
        <v>0</v>
      </c>
      <c r="CN140" s="41" t="n">
        <f aca="false">Tasks[[#This Row],[_LeafWork]]+IF(Tasks[[#This Row],[_IsLeaf]]=1,SUMIFS(asg_Work,asg_TaskUID,Tasks[[#This Row],[UID]],asg_Valid,1),0)</f>
        <v>0</v>
      </c>
      <c r="CO140" s="41" t="n">
        <f aca="false">Tasks[[#This Row],[_LeafCost]]+IF(Tasks[[#This Row],[_IsLeaf]]=1,SUMIFS(asg_Cost,asg_TaskUID,Tasks[[#This Row],[UID]],asg_Valid,1),0)</f>
        <v>0</v>
      </c>
      <c r="CP140" s="41" t="n">
        <f aca="false">IF(Tasks[[#This Row],[_LeafTotalCost]]=0,Tasks[[#This Row],[_LeafAC]],Tasks[[#This Row],[_LeafAC]]*Tasks[[#This Row],[_LeafCost]]/Tasks[[#This Row],[_LeafTotalCost]])</f>
        <v>0</v>
      </c>
      <c r="CQ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0" s="41" t="n">
        <f aca="false">IF(NOT(Tasks[[#This Row],[_IsLeaf]]=1),0,MAX(_xlfn.MAXIFS(Tasks[_Row],Tasks[Pred1 UID],Tasks[[#This Row],[UID]]),_xlfn.MAXIFS(Tasks[_Row],Tasks[Pred2 UID],Tasks[[#This Row],[UID]]),_xlfn.MAXIFS(Tasks[_Row],Tasks[Pred3 UID],Tasks[[#This Row],[UID]]),_xlfn.MAXIFS(Tasks[_Row],Tasks[Pred4 UID],Tasks[[#This Row],[UID]])))</f>
        <v>0</v>
      </c>
      <c r="CZ1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0" s="101" t="str">
        <f aca="false">IF(NOT(Tasks[[#This Row],[_IsLeaf]]=1),"",IF(N(Tasks[[#This Row],[Duration]])&lt;=0,Tasks[[#This Row],[_LeafLateFinish]],WORKDAY.INTL(Tasks[[#This Row],[_LeafLateFinish]],-(Tasks[[#This Row],[Duration]]-1),WorkWeek,Holidays)))</f>
        <v/>
      </c>
      <c r="DC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0" s="100" t="b">
        <f aca="false">AND(Tasks[[#This Row],[_IsLeaf]]=1,Tasks[[#This Row],[_LeafProgress]]&lt;1,N(Tasks[[#This Row],[_LeafTotalSlack]])&lt;=CriticalSlackDays)</f>
        <v>0</v>
      </c>
      <c r="DE140" s="41" t="n">
        <f aca="false">IF(AND(Tasks[[#This Row],[_IsLeaf]]=1,Tasks[[#This Row],[_ConstraintCode]]=1,Tasks[[#This Row],[Mode]]&lt;&gt;"Manual",N(Tasks[[#This Row],[Actual Start]])=0),MAX(0,N(Tasks[[#This Row],[Free Slack]])),0)</f>
        <v>0</v>
      </c>
      <c r="DF140" s="101" t="str">
        <f aca="false">IF(NOT(Tasks[[#This Row],[_IsLeaf]]=1),"",IF(Tasks[[#This Row],[_AlapShift]]=0,Tasks[[#This Row],[_LeafCalcStart]],WORKDAY.INTL(Tasks[[#This Row],[_LeafCalcStart]],Tasks[[#This Row],[_AlapShift]],WorkWeek,Holidays)))</f>
        <v/>
      </c>
      <c r="DG140" s="101" t="str">
        <f aca="false">IF(NOT(Tasks[[#This Row],[_IsLeaf]]=1),"",IF(Tasks[[#This Row],[_AlapShift]]=0,Tasks[[#This Row],[_LeafCalcFinish]],WORKDAY.INTL(Tasks[[#This Row],[_LeafCalcFinish]],Tasks[[#This Row],[_AlapShift]],WorkWeek,Holidays)))</f>
        <v/>
      </c>
      <c r="DH140" s="101" t="str">
        <f aca="false">IF(NOT(Tasks[[#This Row],[_IsLeaf]]=1),"",IF(Tasks[[#This Row],[_AlapShift]]=0,Tasks[[#This Row],[_LeafFcstStart]],WORKDAY.INTL(Tasks[[#This Row],[_LeafFcstStart]],Tasks[[#This Row],[_AlapShift]],WorkWeek,Holidays)))</f>
        <v/>
      </c>
      <c r="DI140" s="101" t="str">
        <f aca="false">IF(NOT(Tasks[[#This Row],[_IsLeaf]]=1),"",IF(Tasks[[#This Row],[_AlapShift]]=0,Tasks[[#This Row],[_LeafFcstFinish]],WORKDAY.INTL(Tasks[[#This Row],[_LeafFcstFinish]],Tasks[[#This Row],[_AlapShift]],WorkWeek,Holidays)))</f>
        <v/>
      </c>
      <c r="DJ140" s="101" t="str">
        <f aca="false">IF(Tasks[[#This Row],[Task Name]]="","",IF(Tasks[[#This Row],[_IsSummary]],MIN(INDEX(Tasks[_ShownCalcStart],Tasks[[#This Row],[_Row]]+1):INDEX(Tasks[_ShownCalcStart],Tasks[[#This Row],[_Row]]+Tasks[[#This Row],[_Descendants]])),Tasks[[#This Row],[_ShownCalcStart]]))</f>
        <v/>
      </c>
      <c r="DK140" s="101" t="str">
        <f aca="false">IF(Tasks[[#This Row],[Task Name]]="","",IF(Tasks[[#This Row],[_IsSummary]],MAX(INDEX(Tasks[_ShownCalcFinish],Tasks[[#This Row],[_Row]]+1):INDEX(Tasks[_ShownCalcFinish],Tasks[[#This Row],[_Row]]+Tasks[[#This Row],[_Descendants]])),Tasks[[#This Row],[_ShownCalcFinish]]))</f>
        <v/>
      </c>
      <c r="D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0" s="41" t="n">
        <f aca="false">IF(AND(Tasks[[#This Row],[_IsLeaf]]=1,Tasks[[#This Row],[_LeafTotalWork]]&gt;0),NETWORKDAYS.INTL(ProjectStart,Tasks[[#This Row],[_ShownFcstStart]],WorkWeek,Holidays),0)</f>
        <v>0</v>
      </c>
      <c r="DY140" s="41" t="n">
        <f aca="false">IF(AND(Tasks[[#This Row],[_IsLeaf]]=1,Tasks[[#This Row],[_LeafTotalWork]]&gt;0),MAX(Tasks[[#This Row],[_StartWorkday]],NETWORKDAYS.INTL(ProjectStart,Tasks[[#This Row],[_ShownFcstFinish]],WorkWeek,Holidays)),0)</f>
        <v>0</v>
      </c>
      <c r="DZ140" s="41" t="n">
        <f aca="false">IF(AND(Tasks[[#This Row],[_IsLeaf]]=1,Tasks[[#This Row],[_LeafTotalWork]]&gt;0),Tasks[[#This Row],[_LeafWork]]/(Tasks[[#This Row],[_FinishWorkday]]-Tasks[[#This Row],[_StartWorkday]]+1),0)</f>
        <v>0</v>
      </c>
      <c r="EA140" s="41" t="n">
        <f aca="false">Tasks[[#This Row],[_WorkPerWorkday]]*(Tasks[[#This Row],[_StartWorkday]]-1)</f>
        <v>-0</v>
      </c>
      <c r="EB140" s="41" t="n">
        <f aca="false">IF(Tasks[[#This Row],[_IsLeaf]]=1,MAX(N(Tasks[[#This Row],[Duration]]),0.1),0)</f>
        <v>0</v>
      </c>
      <c r="EC140" s="41" t="n">
        <f aca="false">Tasks[[#This Row],[_WeightDur]]*Tasks[[#This Row],[_LeafProgress]]</f>
        <v>0</v>
      </c>
      <c r="ED1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0" s="41" t="str">
        <f aca="false">IF(AND(Tasks[[#This Row],[_IsLeaf]]=1,N(Tasks[[#This Row],[Duration]])=0,Tasks[[#This Row],[_LeafProgress]]&lt;1),Tasks[[#This Row],[_ShownFcstFinish]]+Tasks[[#This Row],[_Row]]/100000,"")</f>
        <v/>
      </c>
      <c r="EF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0" s="41" t="n">
        <f aca="false">IF(NOT(Tasks[[#This Row],[_IsLeaf]]=1),0,IF(Tasks[[#This Row],[Baseline Cost]]="",Tasks[[#This Row],[_LeafTotalCost]],N(Tasks[[#This Row],[Baseline Cost]])))</f>
        <v>0</v>
      </c>
      <c r="EH140" s="41" t="n">
        <f aca="false">Tasks[[#This Row],[_LeafBudget]]*Tasks[[#This Row],[_PlannedPct]]</f>
        <v>0</v>
      </c>
      <c r="EI140" s="41" t="n">
        <f aca="false">Tasks[[#This Row],[_LeafBudget]]*Tasks[[#This Row],[_LeafProgress]]</f>
        <v>0</v>
      </c>
      <c r="EJ140" s="41" t="n">
        <f aca="false">IF(NOT(Tasks[[#This Row],[_IsLeaf]]=1),0,IF(Tasks[[#This Row],[Actual Cost]]="",Tasks[[#This Row],[_LeafTotalCost]]*Tasks[[#This Row],[_LeafProgress]],N(Tasks[[#This Row],[Actual Cost]])))</f>
        <v>0</v>
      </c>
      <c r="EK140" s="41" t="str">
        <f aca="false">IF(Tasks[[#This Row],[Task Name]]="","",LEFT(Tasks[[#This Row],[WBS]],FIND(".",Tasks[[#This Row],[WBS]]&amp;".")-1))</f>
        <v/>
      </c>
      <c r="EL140" s="41" t="str">
        <f aca="false">IF(AND(Tasks[[#This Row],[Task Name]]&lt;&gt;"",Tasks[[#This Row],[_Level]]=1),Tasks[[#This Row],[_Row]],"")</f>
        <v/>
      </c>
      <c r="EM140" s="41" t="str">
        <f aca="false">IF(AND(Tasks[[#This Row],[_IsLeaf]]=1,N(Tasks[[#This Row],[Duration]])=0),Tasks[[#This Row],[Planned Finish]]+Tasks[[#This Row],[_Row]]/100000,"")</f>
        <v/>
      </c>
      <c r="EN140" s="41" t="str">
        <f aca="false">IF(AND(Tasks[[#This Row],[_IsLeaf]]=1,Tasks[[#This Row],[_LeafProgress]]&lt;1,OR(N(Tasks[[#This Row],[Finish Var]])&gt;0,Tasks[[#This Row],[Status]]="Late Start")),MAX(0,Tasks[[#This Row],[Finish Var]])+1-Tasks[[#This Row],[_Row]]/1000000,"")</f>
        <v/>
      </c>
      <c r="EO140" s="41" t="str">
        <f aca="false">IF(AND(Tasks[[#This Row],[_IsLeaf]]=1,N(Tasks[[#This Row],[Actual Start]])=0,Tasks[[#This Row],[_ShownFcstStart]]&gt;=StatusDate,Tasks[[#This Row],[_ShownFcstStart]]&lt;=LookaheadEnd),Tasks[[#This Row],[_ShownFcstStart]]+Tasks[[#This Row],[_Row]]/100000,"")</f>
        <v/>
      </c>
      <c r="EP140" s="41" t="str">
        <f aca="false">IF(AND(Tasks[[#This Row],[_IsLeaf]]=1,Tasks[[#This Row],[_LeafProgress]]&lt;1,Tasks[[#This Row],[_ShownFcstFinish]]&gt;=StatusDate,Tasks[[#This Row],[_ShownFcstFinish]]&lt;=LookaheadEnd),Tasks[[#This Row],[_ShownFcstFinish]]+Tasks[[#This Row],[_Row]]/100000,"")</f>
        <v/>
      </c>
      <c r="EQ140" s="41" t="str">
        <f aca="false">IF(Tasks[[#This Row],[_LeafCritical]],Tasks[[#This Row],[_ShownFcstStart]]+Tasks[[#This Row],[_Row]]/100000,"")</f>
        <v/>
      </c>
      <c r="ER140" s="41" t="n">
        <f aca="false">Tasks[[#This Row],[_LeafWork]]*Tasks[[#This Row],[_LeafProgress]]</f>
        <v>0</v>
      </c>
      <c r="ES140" s="101" t="str">
        <f aca="false">IF(AND(Tasks[[#This Row],[_IsLeaf]]=1,Tasks[[#This Row],[_LeafProgress]]&gt;=1),IF(N(Tasks[[#This Row],[Actual Finish]])&gt;0,Tasks[[#This Row],[Actual Finish]],Tasks[[#This Row],[_ShownFcstFinish]]),"")</f>
        <v/>
      </c>
      <c r="ET140" s="41" t="n">
        <f aca="false">IF(Tasks[[#This Row],[_IsLeaf]]=1,N(Tasks[[#This Row],[Story Points]]),0)</f>
        <v>0</v>
      </c>
      <c r="EU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29"/>
      <c r="O141" s="29"/>
      <c r="P141" s="29"/>
      <c r="Q141" s="29"/>
      <c r="R141" s="29"/>
      <c r="S141" s="29"/>
      <c r="T141" s="30"/>
      <c r="U141" s="75"/>
      <c r="V141" s="75"/>
      <c r="W141" s="25" t="str">
        <f aca="false">IF(Tasks[[#This Row],[Task Name]]="","",IF(N(Tasks[[#This Row],[Baseline Start]])&gt;0,Tasks[[#This Row],[Baseline Start]],Tasks[[#This Row],[_CalcStart]]))</f>
        <v/>
      </c>
      <c r="X141" s="25" t="str">
        <f aca="false">IF(Tasks[[#This Row],[Task Name]]="","",IF(N(Tasks[[#This Row],[Baseline Finish]])&gt;0,Tasks[[#This Row],[Baseline Finish]],Tasks[[#This Row],[_CalcFinish]]))</f>
        <v/>
      </c>
      <c r="Y141" s="75"/>
      <c r="Z141" s="75"/>
      <c r="AA141" s="25" t="str">
        <f aca="false">IF(Tasks[[#This Row],[Task Name]]="","",IF(Tasks[[#This Row],[_IsSummary]],MIN(INDEX(Tasks[_ShownFcstStart],Tasks[[#This Row],[_Row]]+1):INDEX(Tasks[_ShownFcstStart],Tasks[[#This Row],[_Row]]+Tasks[[#This Row],[_Descendants]])),Tasks[[#This Row],[_ShownFcstStart]]))</f>
        <v/>
      </c>
      <c r="AB141" s="25" t="str">
        <f aca="false">IF(Tasks[[#This Row],[Task Name]]="","",IF(Tasks[[#This Row],[_IsSummary]],MAX(INDEX(Tasks[_ShownFcstFinish],Tasks[[#This Row],[_Row]]+1):INDEX(Tasks[_ShownFcstFinish],Tasks[[#This Row],[_Row]]+Tasks[[#This Row],[_Descendants]])),Tasks[[#This Row],[_ShownFcstFinish]]))</f>
        <v/>
      </c>
      <c r="AC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1" s="25" t="str">
        <f aca="false">IF(Tasks[[#This Row],[Task Name]]="","",IF(Tasks[[#This Row],[_IsSummary]],MIN(INDEX(Tasks[_LeafLateStart],Tasks[[#This Row],[_Row]]+1):INDEX(Tasks[_LeafLateStart],Tasks[[#This Row],[_Row]]+Tasks[[#This Row],[_Descendants]])),Tasks[[#This Row],[_LeafLateStart]]))</f>
        <v/>
      </c>
      <c r="AF141" s="25" t="str">
        <f aca="false">IF(Tasks[[#This Row],[Task Name]]="","",IF(Tasks[[#This Row],[_IsSummary]],MAX(INDEX(Tasks[_LeafLateFinish],Tasks[[#This Row],[_Row]]+1):INDEX(Tasks[_LeafLateFinish],Tasks[[#This Row],[_Row]]+Tasks[[#This Row],[_Descendants]])),Tasks[[#This Row],[_LeafLateFinish]]))</f>
        <v/>
      </c>
      <c r="AG141" s="28" t="str">
        <f aca="false">IF(Tasks[[#This Row],[Task Name]]="","",IF(Tasks[[#This Row],[_IsSummary]],MIN(INDEX(Tasks[_LeafTotalSlack],Tasks[[#This Row],[_Row]]+1):INDEX(Tasks[_LeafTotalSlack],Tasks[[#This Row],[_Row]]+Tasks[[#This Row],[_Descendants]])),Tasks[[#This Row],[_LeafTotalSlack]]))</f>
        <v/>
      </c>
      <c r="AH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1" s="28" t="str">
        <f aca="false">IF(Tasks[[#This Row],[Task Name]]="","",IF(IF(Tasks[[#This Row],[_IsSummary]],COUNTIF(INDEX(Tasks[_LeafCritical],Tasks[[#This Row],[_Row]]+1):INDEX(Tasks[_LeafCritical],Tasks[[#This Row],[_Row]]+Tasks[[#This Row],[_Descendants]]),TRUE())&gt;0,Tasks[[#This Row],[_LeafCritical]]),"Yes",""))</f>
        <v/>
      </c>
      <c r="AJ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1" s="89"/>
      <c r="AM1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1" s="28" t="str">
        <f aca="false">IF(Tasks[[#This Row],[Task Name]]="","",IF(Tasks[[#This Row],[Progress]]&gt;=1,"Complete",IF(OR(N(Tasks[[#This Row],[Actual Start]])&gt;0,Tasks[[#This Row],[Progress]]&gt;0),IF(Tasks[[#This Row],[Finish Var]]&gt;0,"Behind","In Progress"),IF(Tasks[[#This Row],[Planned Start]]&lt;StatusDate,"Late Start","Not Started"))))</f>
        <v/>
      </c>
      <c r="AO141" s="30"/>
      <c r="AP141" s="89"/>
      <c r="AQ1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1" s="96" t="str">
        <f aca="false">IF(Tasks[[#This Row],[Task Name]]="","",IF(Tasks[[#This Row],[_IsSummary]],SUM(INDEX(Tasks[_LeafTotalWork],Tasks[[#This Row],[_Row]]+1):INDEX(Tasks[_LeafTotalWork],Tasks[[#This Row],[_Row]]+Tasks[[#This Row],[_Descendants]])),Tasks[[#This Row],[_LeafTotalWork]]))</f>
        <v/>
      </c>
      <c r="AT141" s="97" t="str">
        <f aca="false">IF(Tasks[[#This Row],[Task Name]]="","",IF(Tasks[[#This Row],[_IsSummary]],SUM(INDEX(Tasks[_LeafTotalCost],Tasks[[#This Row],[_Row]]+1):INDEX(Tasks[_LeafTotalCost],Tasks[[#This Row],[_Row]]+Tasks[[#This Row],[_Descendants]])),Tasks[[#This Row],[_LeafTotalCost]]))</f>
        <v/>
      </c>
      <c r="AU141" s="98"/>
      <c r="AV141" s="29"/>
      <c r="AW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1" s="83"/>
      <c r="AY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1" s="30"/>
      <c r="BA141" s="25" t="str">
        <f aca="false">IF(Tasks[[#This Row],[Task Name]]="","",Tasks[[#This Row],[Forecast Start]])</f>
        <v/>
      </c>
      <c r="BB141" s="25" t="str">
        <f aca="false">IF(Tasks[[#This Row],[Task Name]]="","",Tasks[[#This Row],[Forecast Finish]])</f>
        <v/>
      </c>
      <c r="BC141" s="28" t="str">
        <f aca="false">IF(Tasks[[#This Row],[Task Name]]="","",IF(Tasks[[#This Row],[_IsSummary]],NETWORKDAYS.INTL(Tasks[[#This Row],[Forecast Start]],Tasks[[#This Row],[Forecast Finish]],WorkWeek,Holidays),N(Tasks[[#This Row],[Duration]])))</f>
        <v/>
      </c>
      <c r="BD141" s="96" t="str">
        <f aca="false">IF(Tasks[[#This Row],[Task Name]]="","",Tasks[[#This Row],[Work]])</f>
        <v/>
      </c>
      <c r="BE141" s="97" t="str">
        <f aca="false">IF(Tasks[[#This Row],[Task Name]]="","",Tasks[[#This Row],[Cost]])</f>
        <v/>
      </c>
      <c r="BF141" s="75"/>
      <c r="BG141" s="75"/>
      <c r="BH141" s="29"/>
      <c r="BI141" s="99"/>
      <c r="BJ141" s="98"/>
      <c r="BK141" s="28" t="str">
        <f aca="false">IF(OR(Tasks[[#This Row],[Task Name]]="",Tasks[[#This Row],[Baseline Duration]]=""),"",Tasks[[#This Row],[BL Source Duration]]-N(Tasks[[#This Row],[Baseline Duration]]))</f>
        <v/>
      </c>
      <c r="BL141" s="96" t="str">
        <f aca="false">IF(OR(Tasks[[#This Row],[Task Name]]="",Tasks[[#This Row],[Baseline Work]]=""),"",Tasks[[#This Row],[Work]]-N(Tasks[[#This Row],[Baseline Work]]))</f>
        <v/>
      </c>
      <c r="BM141" s="97" t="str">
        <f aca="false">IF(OR(Tasks[[#This Row],[Task Name]]="",Tasks[[#This Row],[Baseline Cost]]=""),"",Tasks[[#This Row],[Cost]]-N(Tasks[[#This Row],[Baseline Cost]]))</f>
        <v/>
      </c>
      <c r="BN141" s="97" t="str">
        <f aca="false">IF(Tasks[[#This Row],[Task Name]]="","",IF(Tasks[[#This Row],[_IsSummary]],SUM(INDEX(Tasks[_LeafBudget],Tasks[[#This Row],[_Row]]+1):INDEX(Tasks[_LeafBudget],Tasks[[#This Row],[_Row]]+Tasks[[#This Row],[_Descendants]])),Tasks[[#This Row],[_LeafBudget]]))</f>
        <v/>
      </c>
      <c r="BO141" s="97" t="str">
        <f aca="false">IF(Tasks[[#This Row],[Task Name]]="","",IF(Tasks[[#This Row],[_IsSummary]],SUM(INDEX(Tasks[_LeafPV],Tasks[[#This Row],[_Row]]+1):INDEX(Tasks[_LeafPV],Tasks[[#This Row],[_Row]]+Tasks[[#This Row],[_Descendants]])),Tasks[[#This Row],[_LeafPV]]))</f>
        <v/>
      </c>
      <c r="BP141" s="97" t="str">
        <f aca="false">IF(Tasks[[#This Row],[Task Name]]="","",IF(Tasks[[#This Row],[_IsSummary]],SUM(INDEX(Tasks[_LeafEV],Tasks[[#This Row],[_Row]]+1):INDEX(Tasks[_LeafEV],Tasks[[#This Row],[_Row]]+Tasks[[#This Row],[_Descendants]])),Tasks[[#This Row],[_LeafEV]]))</f>
        <v/>
      </c>
      <c r="BQ141" s="97" t="str">
        <f aca="false">IF(Tasks[[#This Row],[Task Name]]="","",IF(Tasks[[#This Row],[_IsSummary]],SUM(INDEX(Tasks[_LeafAC],Tasks[[#This Row],[_Row]]+1):INDEX(Tasks[_LeafAC],Tasks[[#This Row],[_Row]]+Tasks[[#This Row],[_Descendants]])),Tasks[[#This Row],[_LeafAC]]))</f>
        <v/>
      </c>
      <c r="BR141" s="41" t="str">
        <f aca="false">IF(Tasks[[#This Row],[Task Name]]="","",MAX(1,N(Tasks[[#This Row],[Level]])))</f>
        <v/>
      </c>
      <c r="BS141" s="41" t="n">
        <f aca="false">ROW()-ROW(Tasks[[#Headers],[ID]])</f>
        <v>136</v>
      </c>
      <c r="BT141" s="41" t="n">
        <f aca="false">IF(OR(Tasks[[#This Row],[Task Name]]="",Tasks[[#This Row],[_Level]]&lt;=1),0,IFERROR(LOOKUP(2,1/(Tasks[[#Headers],[_Level]]:Tasks[[#This Row],[_Level]]=Tasks[[#This Row],[_Level]]-1),ROW(Tasks[[#Headers],[_Level]]:Tasks[[#This Row],[_Level]])),0))</f>
        <v>0</v>
      </c>
      <c r="BU141" s="41" t="n">
        <f aca="false">IFERROR(N(INDEX(Tasks[_Level],Tasks[[#This Row],[_Row]]+1)),0)</f>
        <v>0</v>
      </c>
      <c r="BV141" s="100" t="b">
        <f aca="false">AND(Tasks[[#This Row],[Task Name]]&lt;&gt;"",Tasks[[#This Row],[_NextLevel]]&gt;Tasks[[#This Row],[_Level]])</f>
        <v>0</v>
      </c>
      <c r="BW141" s="41" t="n">
        <f aca="false">IF(Tasks[[#This Row],[_IsSummary]],COUNTIF(Tasks[WBS],Tasks[[#This Row],[WBS]]&amp;".*"),0)</f>
        <v>0</v>
      </c>
      <c r="BX141" s="41" t="n">
        <f aca="false">IF(AND(Tasks[[#This Row],[Task Name]]&lt;&gt;"",NOT(Tasks[[#This Row],[_IsSummary]])),1,0)</f>
        <v>0</v>
      </c>
      <c r="BY141" s="41" t="n">
        <f aca="false">IF(N(Tasks[[#This Row],[Pred1 UID]])=0,0,IFERROR(MATCH(Tasks[[#This Row],[Pred1 UID]],Tasks[UID],0),-1))</f>
        <v>0</v>
      </c>
      <c r="BZ141" s="41" t="n">
        <f aca="false">IF(N(Tasks[[#This Row],[Pred2 UID]])=0,0,IFERROR(MATCH(Tasks[[#This Row],[Pred2 UID]],Tasks[UID],0),-1))</f>
        <v>0</v>
      </c>
      <c r="CA141" s="41" t="n">
        <f aca="false">IF(N(Tasks[[#This Row],[Pred3 UID]])=0,0,IFERROR(MATCH(Tasks[[#This Row],[Pred3 UID]],Tasks[UID],0),-1))</f>
        <v>0</v>
      </c>
      <c r="CB141" s="41" t="n">
        <f aca="false">IF(N(Tasks[[#This Row],[Pred4 UID]])=0,0,IFERROR(MATCH(Tasks[[#This Row],[Pred4 UID]],Tasks[UID],0),-1))</f>
        <v>0</v>
      </c>
      <c r="CC1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1" s="101" t="n">
        <f aca="false">IF(OR(Tasks[[#This Row],[_ConstraintCode]]=2,Tasks[[#This Row],[_ConstraintCode]]=3,Tasks[[#This Row],[_ConstraintCode]]=4,Tasks[[#This Row],[_ConstraintCode]]=6),Tasks[[#This Row],[_ConstraintStart]],0)</f>
        <v>0</v>
      </c>
      <c r="CF141" s="101" t="n">
        <f aca="false">IF(OR(Tasks[[#This Row],[_ConstraintCode]]=2,Tasks[[#This Row],[_ConstraintCode]]=3,Tasks[[#This Row],[_ConstraintCode]]=5,Tasks[[#This Row],[_ConstraintCode]]=7),Tasks[[#This Row],[_ConstraintStart]],2958465)</f>
        <v>2958465</v>
      </c>
      <c r="CG14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1" s="101" t="str">
        <f aca="false">IF(NOT(Tasks[[#This Row],[_IsLeaf]]=1),"",IF(N(Tasks[[#This Row],[Duration]])&lt;=0,Tasks[[#This Row],[_LeafCalcStart]],WORKDAY.INTL(Tasks[[#This Row],[_LeafCalcStart]],Tasks[[#This Row],[Duration]]-1,WorkWeek,Holidays)))</f>
        <v/>
      </c>
      <c r="CI14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1" s="41" t="n">
        <f aca="false">IF(NOT(Tasks[[#This Row],[_IsLeaf]]=1),0,IF(N(Tasks[[#This Row],[Actual Finish]])&gt;0,1,MIN(1,N(Tasks[[#This Row],[% Complete]]))))</f>
        <v>0</v>
      </c>
      <c r="CL141" s="41" t="n">
        <f aca="false">IF(OR(NOT(Tasks[[#This Row],[_IsLeaf]]=1),Tasks[[#This Row],[Resource]]=""),0,N(Tasks[[#This Row],[Duration]])*HoursPerDay*IF(Tasks[[#This Row],[Units]]="",DefaultUnits,Tasks[[#This Row],[Units]]))</f>
        <v>0</v>
      </c>
      <c r="CM141" s="41" t="n">
        <f aca="false">IF(Tasks[[#This Row],[_LeafWork]]=0,0,Tasks[[#This Row],[_LeafWork]]*IFERROR(INDEX(res_Rate,MATCH(Tasks[[#This Row],[Resource]],res_Name,0)),0))</f>
        <v>0</v>
      </c>
      <c r="CN141" s="41" t="n">
        <f aca="false">Tasks[[#This Row],[_LeafWork]]+IF(Tasks[[#This Row],[_IsLeaf]]=1,SUMIFS(asg_Work,asg_TaskUID,Tasks[[#This Row],[UID]],asg_Valid,1),0)</f>
        <v>0</v>
      </c>
      <c r="CO141" s="41" t="n">
        <f aca="false">Tasks[[#This Row],[_LeafCost]]+IF(Tasks[[#This Row],[_IsLeaf]]=1,SUMIFS(asg_Cost,asg_TaskUID,Tasks[[#This Row],[UID]],asg_Valid,1),0)</f>
        <v>0</v>
      </c>
      <c r="CP141" s="41" t="n">
        <f aca="false">IF(Tasks[[#This Row],[_LeafTotalCost]]=0,Tasks[[#This Row],[_LeafAC]],Tasks[[#This Row],[_LeafAC]]*Tasks[[#This Row],[_LeafCost]]/Tasks[[#This Row],[_LeafTotalCost]])</f>
        <v>0</v>
      </c>
      <c r="CQ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1" s="41" t="n">
        <f aca="false">IF(NOT(Tasks[[#This Row],[_IsLeaf]]=1),0,MAX(_xlfn.MAXIFS(Tasks[_Row],Tasks[Pred1 UID],Tasks[[#This Row],[UID]]),_xlfn.MAXIFS(Tasks[_Row],Tasks[Pred2 UID],Tasks[[#This Row],[UID]]),_xlfn.MAXIFS(Tasks[_Row],Tasks[Pred3 UID],Tasks[[#This Row],[UID]]),_xlfn.MAXIFS(Tasks[_Row],Tasks[Pred4 UID],Tasks[[#This Row],[UID]])))</f>
        <v>0</v>
      </c>
      <c r="CZ1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1" s="101" t="str">
        <f aca="false">IF(NOT(Tasks[[#This Row],[_IsLeaf]]=1),"",IF(N(Tasks[[#This Row],[Duration]])&lt;=0,Tasks[[#This Row],[_LeafLateFinish]],WORKDAY.INTL(Tasks[[#This Row],[_LeafLateFinish]],-(Tasks[[#This Row],[Duration]]-1),WorkWeek,Holidays)))</f>
        <v/>
      </c>
      <c r="DC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1" s="100" t="b">
        <f aca="false">AND(Tasks[[#This Row],[_IsLeaf]]=1,Tasks[[#This Row],[_LeafProgress]]&lt;1,N(Tasks[[#This Row],[_LeafTotalSlack]])&lt;=CriticalSlackDays)</f>
        <v>0</v>
      </c>
      <c r="DE141" s="41" t="n">
        <f aca="false">IF(AND(Tasks[[#This Row],[_IsLeaf]]=1,Tasks[[#This Row],[_ConstraintCode]]=1,Tasks[[#This Row],[Mode]]&lt;&gt;"Manual",N(Tasks[[#This Row],[Actual Start]])=0),MAX(0,N(Tasks[[#This Row],[Free Slack]])),0)</f>
        <v>0</v>
      </c>
      <c r="DF141" s="101" t="str">
        <f aca="false">IF(NOT(Tasks[[#This Row],[_IsLeaf]]=1),"",IF(Tasks[[#This Row],[_AlapShift]]=0,Tasks[[#This Row],[_LeafCalcStart]],WORKDAY.INTL(Tasks[[#This Row],[_LeafCalcStart]],Tasks[[#This Row],[_AlapShift]],WorkWeek,Holidays)))</f>
        <v/>
      </c>
      <c r="DG141" s="101" t="str">
        <f aca="false">IF(NOT(Tasks[[#This Row],[_IsLeaf]]=1),"",IF(Tasks[[#This Row],[_AlapShift]]=0,Tasks[[#This Row],[_LeafCalcFinish]],WORKDAY.INTL(Tasks[[#This Row],[_LeafCalcFinish]],Tasks[[#This Row],[_AlapShift]],WorkWeek,Holidays)))</f>
        <v/>
      </c>
      <c r="DH141" s="101" t="str">
        <f aca="false">IF(NOT(Tasks[[#This Row],[_IsLeaf]]=1),"",IF(Tasks[[#This Row],[_AlapShift]]=0,Tasks[[#This Row],[_LeafFcstStart]],WORKDAY.INTL(Tasks[[#This Row],[_LeafFcstStart]],Tasks[[#This Row],[_AlapShift]],WorkWeek,Holidays)))</f>
        <v/>
      </c>
      <c r="DI141" s="101" t="str">
        <f aca="false">IF(NOT(Tasks[[#This Row],[_IsLeaf]]=1),"",IF(Tasks[[#This Row],[_AlapShift]]=0,Tasks[[#This Row],[_LeafFcstFinish]],WORKDAY.INTL(Tasks[[#This Row],[_LeafFcstFinish]],Tasks[[#This Row],[_AlapShift]],WorkWeek,Holidays)))</f>
        <v/>
      </c>
      <c r="DJ141" s="101" t="str">
        <f aca="false">IF(Tasks[[#This Row],[Task Name]]="","",IF(Tasks[[#This Row],[_IsSummary]],MIN(INDEX(Tasks[_ShownCalcStart],Tasks[[#This Row],[_Row]]+1):INDEX(Tasks[_ShownCalcStart],Tasks[[#This Row],[_Row]]+Tasks[[#This Row],[_Descendants]])),Tasks[[#This Row],[_ShownCalcStart]]))</f>
        <v/>
      </c>
      <c r="DK141" s="101" t="str">
        <f aca="false">IF(Tasks[[#This Row],[Task Name]]="","",IF(Tasks[[#This Row],[_IsSummary]],MAX(INDEX(Tasks[_ShownCalcFinish],Tasks[[#This Row],[_Row]]+1):INDEX(Tasks[_ShownCalcFinish],Tasks[[#This Row],[_Row]]+Tasks[[#This Row],[_Descendants]])),Tasks[[#This Row],[_ShownCalcFinish]]))</f>
        <v/>
      </c>
      <c r="D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1" s="41" t="n">
        <f aca="false">IF(AND(Tasks[[#This Row],[_IsLeaf]]=1,Tasks[[#This Row],[_LeafTotalWork]]&gt;0),NETWORKDAYS.INTL(ProjectStart,Tasks[[#This Row],[_ShownFcstStart]],WorkWeek,Holidays),0)</f>
        <v>0</v>
      </c>
      <c r="DY141" s="41" t="n">
        <f aca="false">IF(AND(Tasks[[#This Row],[_IsLeaf]]=1,Tasks[[#This Row],[_LeafTotalWork]]&gt;0),MAX(Tasks[[#This Row],[_StartWorkday]],NETWORKDAYS.INTL(ProjectStart,Tasks[[#This Row],[_ShownFcstFinish]],WorkWeek,Holidays)),0)</f>
        <v>0</v>
      </c>
      <c r="DZ141" s="41" t="n">
        <f aca="false">IF(AND(Tasks[[#This Row],[_IsLeaf]]=1,Tasks[[#This Row],[_LeafTotalWork]]&gt;0),Tasks[[#This Row],[_LeafWork]]/(Tasks[[#This Row],[_FinishWorkday]]-Tasks[[#This Row],[_StartWorkday]]+1),0)</f>
        <v>0</v>
      </c>
      <c r="EA141" s="41" t="n">
        <f aca="false">Tasks[[#This Row],[_WorkPerWorkday]]*(Tasks[[#This Row],[_StartWorkday]]-1)</f>
        <v>-0</v>
      </c>
      <c r="EB141" s="41" t="n">
        <f aca="false">IF(Tasks[[#This Row],[_IsLeaf]]=1,MAX(N(Tasks[[#This Row],[Duration]]),0.1),0)</f>
        <v>0</v>
      </c>
      <c r="EC141" s="41" t="n">
        <f aca="false">Tasks[[#This Row],[_WeightDur]]*Tasks[[#This Row],[_LeafProgress]]</f>
        <v>0</v>
      </c>
      <c r="ED1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1" s="41" t="str">
        <f aca="false">IF(AND(Tasks[[#This Row],[_IsLeaf]]=1,N(Tasks[[#This Row],[Duration]])=0,Tasks[[#This Row],[_LeafProgress]]&lt;1),Tasks[[#This Row],[_ShownFcstFinish]]+Tasks[[#This Row],[_Row]]/100000,"")</f>
        <v/>
      </c>
      <c r="EF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1" s="41" t="n">
        <f aca="false">IF(NOT(Tasks[[#This Row],[_IsLeaf]]=1),0,IF(Tasks[[#This Row],[Baseline Cost]]="",Tasks[[#This Row],[_LeafTotalCost]],N(Tasks[[#This Row],[Baseline Cost]])))</f>
        <v>0</v>
      </c>
      <c r="EH141" s="41" t="n">
        <f aca="false">Tasks[[#This Row],[_LeafBudget]]*Tasks[[#This Row],[_PlannedPct]]</f>
        <v>0</v>
      </c>
      <c r="EI141" s="41" t="n">
        <f aca="false">Tasks[[#This Row],[_LeafBudget]]*Tasks[[#This Row],[_LeafProgress]]</f>
        <v>0</v>
      </c>
      <c r="EJ141" s="41" t="n">
        <f aca="false">IF(NOT(Tasks[[#This Row],[_IsLeaf]]=1),0,IF(Tasks[[#This Row],[Actual Cost]]="",Tasks[[#This Row],[_LeafTotalCost]]*Tasks[[#This Row],[_LeafProgress]],N(Tasks[[#This Row],[Actual Cost]])))</f>
        <v>0</v>
      </c>
      <c r="EK141" s="41" t="str">
        <f aca="false">IF(Tasks[[#This Row],[Task Name]]="","",LEFT(Tasks[[#This Row],[WBS]],FIND(".",Tasks[[#This Row],[WBS]]&amp;".")-1))</f>
        <v/>
      </c>
      <c r="EL141" s="41" t="str">
        <f aca="false">IF(AND(Tasks[[#This Row],[Task Name]]&lt;&gt;"",Tasks[[#This Row],[_Level]]=1),Tasks[[#This Row],[_Row]],"")</f>
        <v/>
      </c>
      <c r="EM141" s="41" t="str">
        <f aca="false">IF(AND(Tasks[[#This Row],[_IsLeaf]]=1,N(Tasks[[#This Row],[Duration]])=0),Tasks[[#This Row],[Planned Finish]]+Tasks[[#This Row],[_Row]]/100000,"")</f>
        <v/>
      </c>
      <c r="EN141" s="41" t="str">
        <f aca="false">IF(AND(Tasks[[#This Row],[_IsLeaf]]=1,Tasks[[#This Row],[_LeafProgress]]&lt;1,OR(N(Tasks[[#This Row],[Finish Var]])&gt;0,Tasks[[#This Row],[Status]]="Late Start")),MAX(0,Tasks[[#This Row],[Finish Var]])+1-Tasks[[#This Row],[_Row]]/1000000,"")</f>
        <v/>
      </c>
      <c r="EO141" s="41" t="str">
        <f aca="false">IF(AND(Tasks[[#This Row],[_IsLeaf]]=1,N(Tasks[[#This Row],[Actual Start]])=0,Tasks[[#This Row],[_ShownFcstStart]]&gt;=StatusDate,Tasks[[#This Row],[_ShownFcstStart]]&lt;=LookaheadEnd),Tasks[[#This Row],[_ShownFcstStart]]+Tasks[[#This Row],[_Row]]/100000,"")</f>
        <v/>
      </c>
      <c r="EP141" s="41" t="str">
        <f aca="false">IF(AND(Tasks[[#This Row],[_IsLeaf]]=1,Tasks[[#This Row],[_LeafProgress]]&lt;1,Tasks[[#This Row],[_ShownFcstFinish]]&gt;=StatusDate,Tasks[[#This Row],[_ShownFcstFinish]]&lt;=LookaheadEnd),Tasks[[#This Row],[_ShownFcstFinish]]+Tasks[[#This Row],[_Row]]/100000,"")</f>
        <v/>
      </c>
      <c r="EQ141" s="41" t="str">
        <f aca="false">IF(Tasks[[#This Row],[_LeafCritical]],Tasks[[#This Row],[_ShownFcstStart]]+Tasks[[#This Row],[_Row]]/100000,"")</f>
        <v/>
      </c>
      <c r="ER141" s="41" t="n">
        <f aca="false">Tasks[[#This Row],[_LeafWork]]*Tasks[[#This Row],[_LeafProgress]]</f>
        <v>0</v>
      </c>
      <c r="ES141" s="101" t="str">
        <f aca="false">IF(AND(Tasks[[#This Row],[_IsLeaf]]=1,Tasks[[#This Row],[_LeafProgress]]&gt;=1),IF(N(Tasks[[#This Row],[Actual Finish]])&gt;0,Tasks[[#This Row],[Actual Finish]],Tasks[[#This Row],[_ShownFcstFinish]]),"")</f>
        <v/>
      </c>
      <c r="ET141" s="41" t="n">
        <f aca="false">IF(Tasks[[#This Row],[_IsLeaf]]=1,N(Tasks[[#This Row],[Story Points]]),0)</f>
        <v>0</v>
      </c>
      <c r="EU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29"/>
      <c r="O142" s="29"/>
      <c r="P142" s="29"/>
      <c r="Q142" s="29"/>
      <c r="R142" s="29"/>
      <c r="S142" s="29"/>
      <c r="T142" s="30"/>
      <c r="U142" s="75"/>
      <c r="V142" s="75"/>
      <c r="W142" s="25" t="str">
        <f aca="false">IF(Tasks[[#This Row],[Task Name]]="","",IF(N(Tasks[[#This Row],[Baseline Start]])&gt;0,Tasks[[#This Row],[Baseline Start]],Tasks[[#This Row],[_CalcStart]]))</f>
        <v/>
      </c>
      <c r="X142" s="25" t="str">
        <f aca="false">IF(Tasks[[#This Row],[Task Name]]="","",IF(N(Tasks[[#This Row],[Baseline Finish]])&gt;0,Tasks[[#This Row],[Baseline Finish]],Tasks[[#This Row],[_CalcFinish]]))</f>
        <v/>
      </c>
      <c r="Y142" s="75"/>
      <c r="Z142" s="75"/>
      <c r="AA142" s="25" t="str">
        <f aca="false">IF(Tasks[[#This Row],[Task Name]]="","",IF(Tasks[[#This Row],[_IsSummary]],MIN(INDEX(Tasks[_ShownFcstStart],Tasks[[#This Row],[_Row]]+1):INDEX(Tasks[_ShownFcstStart],Tasks[[#This Row],[_Row]]+Tasks[[#This Row],[_Descendants]])),Tasks[[#This Row],[_ShownFcstStart]]))</f>
        <v/>
      </c>
      <c r="AB142" s="25" t="str">
        <f aca="false">IF(Tasks[[#This Row],[Task Name]]="","",IF(Tasks[[#This Row],[_IsSummary]],MAX(INDEX(Tasks[_ShownFcstFinish],Tasks[[#This Row],[_Row]]+1):INDEX(Tasks[_ShownFcstFinish],Tasks[[#This Row],[_Row]]+Tasks[[#This Row],[_Descendants]])),Tasks[[#This Row],[_ShownFcstFinish]]))</f>
        <v/>
      </c>
      <c r="AC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2" s="25" t="str">
        <f aca="false">IF(Tasks[[#This Row],[Task Name]]="","",IF(Tasks[[#This Row],[_IsSummary]],MIN(INDEX(Tasks[_LeafLateStart],Tasks[[#This Row],[_Row]]+1):INDEX(Tasks[_LeafLateStart],Tasks[[#This Row],[_Row]]+Tasks[[#This Row],[_Descendants]])),Tasks[[#This Row],[_LeafLateStart]]))</f>
        <v/>
      </c>
      <c r="AF142" s="25" t="str">
        <f aca="false">IF(Tasks[[#This Row],[Task Name]]="","",IF(Tasks[[#This Row],[_IsSummary]],MAX(INDEX(Tasks[_LeafLateFinish],Tasks[[#This Row],[_Row]]+1):INDEX(Tasks[_LeafLateFinish],Tasks[[#This Row],[_Row]]+Tasks[[#This Row],[_Descendants]])),Tasks[[#This Row],[_LeafLateFinish]]))</f>
        <v/>
      </c>
      <c r="AG142" s="28" t="str">
        <f aca="false">IF(Tasks[[#This Row],[Task Name]]="","",IF(Tasks[[#This Row],[_IsSummary]],MIN(INDEX(Tasks[_LeafTotalSlack],Tasks[[#This Row],[_Row]]+1):INDEX(Tasks[_LeafTotalSlack],Tasks[[#This Row],[_Row]]+Tasks[[#This Row],[_Descendants]])),Tasks[[#This Row],[_LeafTotalSlack]]))</f>
        <v/>
      </c>
      <c r="AH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2" s="28" t="str">
        <f aca="false">IF(Tasks[[#This Row],[Task Name]]="","",IF(IF(Tasks[[#This Row],[_IsSummary]],COUNTIF(INDEX(Tasks[_LeafCritical],Tasks[[#This Row],[_Row]]+1):INDEX(Tasks[_LeafCritical],Tasks[[#This Row],[_Row]]+Tasks[[#This Row],[_Descendants]]),TRUE())&gt;0,Tasks[[#This Row],[_LeafCritical]]),"Yes",""))</f>
        <v/>
      </c>
      <c r="AJ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2" s="89"/>
      <c r="AM1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2" s="28" t="str">
        <f aca="false">IF(Tasks[[#This Row],[Task Name]]="","",IF(Tasks[[#This Row],[Progress]]&gt;=1,"Complete",IF(OR(N(Tasks[[#This Row],[Actual Start]])&gt;0,Tasks[[#This Row],[Progress]]&gt;0),IF(Tasks[[#This Row],[Finish Var]]&gt;0,"Behind","In Progress"),IF(Tasks[[#This Row],[Planned Start]]&lt;StatusDate,"Late Start","Not Started"))))</f>
        <v/>
      </c>
      <c r="AO142" s="30"/>
      <c r="AP142" s="89"/>
      <c r="AQ1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2" s="96" t="str">
        <f aca="false">IF(Tasks[[#This Row],[Task Name]]="","",IF(Tasks[[#This Row],[_IsSummary]],SUM(INDEX(Tasks[_LeafTotalWork],Tasks[[#This Row],[_Row]]+1):INDEX(Tasks[_LeafTotalWork],Tasks[[#This Row],[_Row]]+Tasks[[#This Row],[_Descendants]])),Tasks[[#This Row],[_LeafTotalWork]]))</f>
        <v/>
      </c>
      <c r="AT142" s="97" t="str">
        <f aca="false">IF(Tasks[[#This Row],[Task Name]]="","",IF(Tasks[[#This Row],[_IsSummary]],SUM(INDEX(Tasks[_LeafTotalCost],Tasks[[#This Row],[_Row]]+1):INDEX(Tasks[_LeafTotalCost],Tasks[[#This Row],[_Row]]+Tasks[[#This Row],[_Descendants]])),Tasks[[#This Row],[_LeafTotalCost]]))</f>
        <v/>
      </c>
      <c r="AU142" s="98"/>
      <c r="AV142" s="29"/>
      <c r="AW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2" s="83"/>
      <c r="AY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2" s="30"/>
      <c r="BA142" s="25" t="str">
        <f aca="false">IF(Tasks[[#This Row],[Task Name]]="","",Tasks[[#This Row],[Forecast Start]])</f>
        <v/>
      </c>
      <c r="BB142" s="25" t="str">
        <f aca="false">IF(Tasks[[#This Row],[Task Name]]="","",Tasks[[#This Row],[Forecast Finish]])</f>
        <v/>
      </c>
      <c r="BC142" s="28" t="str">
        <f aca="false">IF(Tasks[[#This Row],[Task Name]]="","",IF(Tasks[[#This Row],[_IsSummary]],NETWORKDAYS.INTL(Tasks[[#This Row],[Forecast Start]],Tasks[[#This Row],[Forecast Finish]],WorkWeek,Holidays),N(Tasks[[#This Row],[Duration]])))</f>
        <v/>
      </c>
      <c r="BD142" s="96" t="str">
        <f aca="false">IF(Tasks[[#This Row],[Task Name]]="","",Tasks[[#This Row],[Work]])</f>
        <v/>
      </c>
      <c r="BE142" s="97" t="str">
        <f aca="false">IF(Tasks[[#This Row],[Task Name]]="","",Tasks[[#This Row],[Cost]])</f>
        <v/>
      </c>
      <c r="BF142" s="75"/>
      <c r="BG142" s="75"/>
      <c r="BH142" s="29"/>
      <c r="BI142" s="99"/>
      <c r="BJ142" s="98"/>
      <c r="BK142" s="28" t="str">
        <f aca="false">IF(OR(Tasks[[#This Row],[Task Name]]="",Tasks[[#This Row],[Baseline Duration]]=""),"",Tasks[[#This Row],[BL Source Duration]]-N(Tasks[[#This Row],[Baseline Duration]]))</f>
        <v/>
      </c>
      <c r="BL142" s="96" t="str">
        <f aca="false">IF(OR(Tasks[[#This Row],[Task Name]]="",Tasks[[#This Row],[Baseline Work]]=""),"",Tasks[[#This Row],[Work]]-N(Tasks[[#This Row],[Baseline Work]]))</f>
        <v/>
      </c>
      <c r="BM142" s="97" t="str">
        <f aca="false">IF(OR(Tasks[[#This Row],[Task Name]]="",Tasks[[#This Row],[Baseline Cost]]=""),"",Tasks[[#This Row],[Cost]]-N(Tasks[[#This Row],[Baseline Cost]]))</f>
        <v/>
      </c>
      <c r="BN142" s="97" t="str">
        <f aca="false">IF(Tasks[[#This Row],[Task Name]]="","",IF(Tasks[[#This Row],[_IsSummary]],SUM(INDEX(Tasks[_LeafBudget],Tasks[[#This Row],[_Row]]+1):INDEX(Tasks[_LeafBudget],Tasks[[#This Row],[_Row]]+Tasks[[#This Row],[_Descendants]])),Tasks[[#This Row],[_LeafBudget]]))</f>
        <v/>
      </c>
      <c r="BO142" s="97" t="str">
        <f aca="false">IF(Tasks[[#This Row],[Task Name]]="","",IF(Tasks[[#This Row],[_IsSummary]],SUM(INDEX(Tasks[_LeafPV],Tasks[[#This Row],[_Row]]+1):INDEX(Tasks[_LeafPV],Tasks[[#This Row],[_Row]]+Tasks[[#This Row],[_Descendants]])),Tasks[[#This Row],[_LeafPV]]))</f>
        <v/>
      </c>
      <c r="BP142" s="97" t="str">
        <f aca="false">IF(Tasks[[#This Row],[Task Name]]="","",IF(Tasks[[#This Row],[_IsSummary]],SUM(INDEX(Tasks[_LeafEV],Tasks[[#This Row],[_Row]]+1):INDEX(Tasks[_LeafEV],Tasks[[#This Row],[_Row]]+Tasks[[#This Row],[_Descendants]])),Tasks[[#This Row],[_LeafEV]]))</f>
        <v/>
      </c>
      <c r="BQ142" s="97" t="str">
        <f aca="false">IF(Tasks[[#This Row],[Task Name]]="","",IF(Tasks[[#This Row],[_IsSummary]],SUM(INDEX(Tasks[_LeafAC],Tasks[[#This Row],[_Row]]+1):INDEX(Tasks[_LeafAC],Tasks[[#This Row],[_Row]]+Tasks[[#This Row],[_Descendants]])),Tasks[[#This Row],[_LeafAC]]))</f>
        <v/>
      </c>
      <c r="BR142" s="41" t="str">
        <f aca="false">IF(Tasks[[#This Row],[Task Name]]="","",MAX(1,N(Tasks[[#This Row],[Level]])))</f>
        <v/>
      </c>
      <c r="BS142" s="41" t="n">
        <f aca="false">ROW()-ROW(Tasks[[#Headers],[ID]])</f>
        <v>137</v>
      </c>
      <c r="BT142" s="41" t="n">
        <f aca="false">IF(OR(Tasks[[#This Row],[Task Name]]="",Tasks[[#This Row],[_Level]]&lt;=1),0,IFERROR(LOOKUP(2,1/(Tasks[[#Headers],[_Level]]:Tasks[[#This Row],[_Level]]=Tasks[[#This Row],[_Level]]-1),ROW(Tasks[[#Headers],[_Level]]:Tasks[[#This Row],[_Level]])),0))</f>
        <v>0</v>
      </c>
      <c r="BU142" s="41" t="n">
        <f aca="false">IFERROR(N(INDEX(Tasks[_Level],Tasks[[#This Row],[_Row]]+1)),0)</f>
        <v>0</v>
      </c>
      <c r="BV142" s="100" t="b">
        <f aca="false">AND(Tasks[[#This Row],[Task Name]]&lt;&gt;"",Tasks[[#This Row],[_NextLevel]]&gt;Tasks[[#This Row],[_Level]])</f>
        <v>0</v>
      </c>
      <c r="BW142" s="41" t="n">
        <f aca="false">IF(Tasks[[#This Row],[_IsSummary]],COUNTIF(Tasks[WBS],Tasks[[#This Row],[WBS]]&amp;".*"),0)</f>
        <v>0</v>
      </c>
      <c r="BX142" s="41" t="n">
        <f aca="false">IF(AND(Tasks[[#This Row],[Task Name]]&lt;&gt;"",NOT(Tasks[[#This Row],[_IsSummary]])),1,0)</f>
        <v>0</v>
      </c>
      <c r="BY142" s="41" t="n">
        <f aca="false">IF(N(Tasks[[#This Row],[Pred1 UID]])=0,0,IFERROR(MATCH(Tasks[[#This Row],[Pred1 UID]],Tasks[UID],0),-1))</f>
        <v>0</v>
      </c>
      <c r="BZ142" s="41" t="n">
        <f aca="false">IF(N(Tasks[[#This Row],[Pred2 UID]])=0,0,IFERROR(MATCH(Tasks[[#This Row],[Pred2 UID]],Tasks[UID],0),-1))</f>
        <v>0</v>
      </c>
      <c r="CA142" s="41" t="n">
        <f aca="false">IF(N(Tasks[[#This Row],[Pred3 UID]])=0,0,IFERROR(MATCH(Tasks[[#This Row],[Pred3 UID]],Tasks[UID],0),-1))</f>
        <v>0</v>
      </c>
      <c r="CB142" s="41" t="n">
        <f aca="false">IF(N(Tasks[[#This Row],[Pred4 UID]])=0,0,IFERROR(MATCH(Tasks[[#This Row],[Pred4 UID]],Tasks[UID],0),-1))</f>
        <v>0</v>
      </c>
      <c r="CC1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2" s="101" t="n">
        <f aca="false">IF(OR(Tasks[[#This Row],[_ConstraintCode]]=2,Tasks[[#This Row],[_ConstraintCode]]=3,Tasks[[#This Row],[_ConstraintCode]]=4,Tasks[[#This Row],[_ConstraintCode]]=6),Tasks[[#This Row],[_ConstraintStart]],0)</f>
        <v>0</v>
      </c>
      <c r="CF142" s="101" t="n">
        <f aca="false">IF(OR(Tasks[[#This Row],[_ConstraintCode]]=2,Tasks[[#This Row],[_ConstraintCode]]=3,Tasks[[#This Row],[_ConstraintCode]]=5,Tasks[[#This Row],[_ConstraintCode]]=7),Tasks[[#This Row],[_ConstraintStart]],2958465)</f>
        <v>2958465</v>
      </c>
      <c r="CG14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2" s="101" t="str">
        <f aca="false">IF(NOT(Tasks[[#This Row],[_IsLeaf]]=1),"",IF(N(Tasks[[#This Row],[Duration]])&lt;=0,Tasks[[#This Row],[_LeafCalcStart]],WORKDAY.INTL(Tasks[[#This Row],[_LeafCalcStart]],Tasks[[#This Row],[Duration]]-1,WorkWeek,Holidays)))</f>
        <v/>
      </c>
      <c r="CI14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2" s="41" t="n">
        <f aca="false">IF(NOT(Tasks[[#This Row],[_IsLeaf]]=1),0,IF(N(Tasks[[#This Row],[Actual Finish]])&gt;0,1,MIN(1,N(Tasks[[#This Row],[% Complete]]))))</f>
        <v>0</v>
      </c>
      <c r="CL142" s="41" t="n">
        <f aca="false">IF(OR(NOT(Tasks[[#This Row],[_IsLeaf]]=1),Tasks[[#This Row],[Resource]]=""),0,N(Tasks[[#This Row],[Duration]])*HoursPerDay*IF(Tasks[[#This Row],[Units]]="",DefaultUnits,Tasks[[#This Row],[Units]]))</f>
        <v>0</v>
      </c>
      <c r="CM142" s="41" t="n">
        <f aca="false">IF(Tasks[[#This Row],[_LeafWork]]=0,0,Tasks[[#This Row],[_LeafWork]]*IFERROR(INDEX(res_Rate,MATCH(Tasks[[#This Row],[Resource]],res_Name,0)),0))</f>
        <v>0</v>
      </c>
      <c r="CN142" s="41" t="n">
        <f aca="false">Tasks[[#This Row],[_LeafWork]]+IF(Tasks[[#This Row],[_IsLeaf]]=1,SUMIFS(asg_Work,asg_TaskUID,Tasks[[#This Row],[UID]],asg_Valid,1),0)</f>
        <v>0</v>
      </c>
      <c r="CO142" s="41" t="n">
        <f aca="false">Tasks[[#This Row],[_LeafCost]]+IF(Tasks[[#This Row],[_IsLeaf]]=1,SUMIFS(asg_Cost,asg_TaskUID,Tasks[[#This Row],[UID]],asg_Valid,1),0)</f>
        <v>0</v>
      </c>
      <c r="CP142" s="41" t="n">
        <f aca="false">IF(Tasks[[#This Row],[_LeafTotalCost]]=0,Tasks[[#This Row],[_LeafAC]],Tasks[[#This Row],[_LeafAC]]*Tasks[[#This Row],[_LeafCost]]/Tasks[[#This Row],[_LeafTotalCost]])</f>
        <v>0</v>
      </c>
      <c r="CQ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2" s="41" t="n">
        <f aca="false">IF(NOT(Tasks[[#This Row],[_IsLeaf]]=1),0,MAX(_xlfn.MAXIFS(Tasks[_Row],Tasks[Pred1 UID],Tasks[[#This Row],[UID]]),_xlfn.MAXIFS(Tasks[_Row],Tasks[Pred2 UID],Tasks[[#This Row],[UID]]),_xlfn.MAXIFS(Tasks[_Row],Tasks[Pred3 UID],Tasks[[#This Row],[UID]]),_xlfn.MAXIFS(Tasks[_Row],Tasks[Pred4 UID],Tasks[[#This Row],[UID]])))</f>
        <v>0</v>
      </c>
      <c r="CZ1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2" s="101" t="str">
        <f aca="false">IF(NOT(Tasks[[#This Row],[_IsLeaf]]=1),"",IF(N(Tasks[[#This Row],[Duration]])&lt;=0,Tasks[[#This Row],[_LeafLateFinish]],WORKDAY.INTL(Tasks[[#This Row],[_LeafLateFinish]],-(Tasks[[#This Row],[Duration]]-1),WorkWeek,Holidays)))</f>
        <v/>
      </c>
      <c r="DC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2" s="100" t="b">
        <f aca="false">AND(Tasks[[#This Row],[_IsLeaf]]=1,Tasks[[#This Row],[_LeafProgress]]&lt;1,N(Tasks[[#This Row],[_LeafTotalSlack]])&lt;=CriticalSlackDays)</f>
        <v>0</v>
      </c>
      <c r="DE142" s="41" t="n">
        <f aca="false">IF(AND(Tasks[[#This Row],[_IsLeaf]]=1,Tasks[[#This Row],[_ConstraintCode]]=1,Tasks[[#This Row],[Mode]]&lt;&gt;"Manual",N(Tasks[[#This Row],[Actual Start]])=0),MAX(0,N(Tasks[[#This Row],[Free Slack]])),0)</f>
        <v>0</v>
      </c>
      <c r="DF142" s="101" t="str">
        <f aca="false">IF(NOT(Tasks[[#This Row],[_IsLeaf]]=1),"",IF(Tasks[[#This Row],[_AlapShift]]=0,Tasks[[#This Row],[_LeafCalcStart]],WORKDAY.INTL(Tasks[[#This Row],[_LeafCalcStart]],Tasks[[#This Row],[_AlapShift]],WorkWeek,Holidays)))</f>
        <v/>
      </c>
      <c r="DG142" s="101" t="str">
        <f aca="false">IF(NOT(Tasks[[#This Row],[_IsLeaf]]=1),"",IF(Tasks[[#This Row],[_AlapShift]]=0,Tasks[[#This Row],[_LeafCalcFinish]],WORKDAY.INTL(Tasks[[#This Row],[_LeafCalcFinish]],Tasks[[#This Row],[_AlapShift]],WorkWeek,Holidays)))</f>
        <v/>
      </c>
      <c r="DH142" s="101" t="str">
        <f aca="false">IF(NOT(Tasks[[#This Row],[_IsLeaf]]=1),"",IF(Tasks[[#This Row],[_AlapShift]]=0,Tasks[[#This Row],[_LeafFcstStart]],WORKDAY.INTL(Tasks[[#This Row],[_LeafFcstStart]],Tasks[[#This Row],[_AlapShift]],WorkWeek,Holidays)))</f>
        <v/>
      </c>
      <c r="DI142" s="101" t="str">
        <f aca="false">IF(NOT(Tasks[[#This Row],[_IsLeaf]]=1),"",IF(Tasks[[#This Row],[_AlapShift]]=0,Tasks[[#This Row],[_LeafFcstFinish]],WORKDAY.INTL(Tasks[[#This Row],[_LeafFcstFinish]],Tasks[[#This Row],[_AlapShift]],WorkWeek,Holidays)))</f>
        <v/>
      </c>
      <c r="DJ142" s="101" t="str">
        <f aca="false">IF(Tasks[[#This Row],[Task Name]]="","",IF(Tasks[[#This Row],[_IsSummary]],MIN(INDEX(Tasks[_ShownCalcStart],Tasks[[#This Row],[_Row]]+1):INDEX(Tasks[_ShownCalcStart],Tasks[[#This Row],[_Row]]+Tasks[[#This Row],[_Descendants]])),Tasks[[#This Row],[_ShownCalcStart]]))</f>
        <v/>
      </c>
      <c r="DK142" s="101" t="str">
        <f aca="false">IF(Tasks[[#This Row],[Task Name]]="","",IF(Tasks[[#This Row],[_IsSummary]],MAX(INDEX(Tasks[_ShownCalcFinish],Tasks[[#This Row],[_Row]]+1):INDEX(Tasks[_ShownCalcFinish],Tasks[[#This Row],[_Row]]+Tasks[[#This Row],[_Descendants]])),Tasks[[#This Row],[_ShownCalcFinish]]))</f>
        <v/>
      </c>
      <c r="D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2" s="41" t="n">
        <f aca="false">IF(AND(Tasks[[#This Row],[_IsLeaf]]=1,Tasks[[#This Row],[_LeafTotalWork]]&gt;0),NETWORKDAYS.INTL(ProjectStart,Tasks[[#This Row],[_ShownFcstStart]],WorkWeek,Holidays),0)</f>
        <v>0</v>
      </c>
      <c r="DY142" s="41" t="n">
        <f aca="false">IF(AND(Tasks[[#This Row],[_IsLeaf]]=1,Tasks[[#This Row],[_LeafTotalWork]]&gt;0),MAX(Tasks[[#This Row],[_StartWorkday]],NETWORKDAYS.INTL(ProjectStart,Tasks[[#This Row],[_ShownFcstFinish]],WorkWeek,Holidays)),0)</f>
        <v>0</v>
      </c>
      <c r="DZ142" s="41" t="n">
        <f aca="false">IF(AND(Tasks[[#This Row],[_IsLeaf]]=1,Tasks[[#This Row],[_LeafTotalWork]]&gt;0),Tasks[[#This Row],[_LeafWork]]/(Tasks[[#This Row],[_FinishWorkday]]-Tasks[[#This Row],[_StartWorkday]]+1),0)</f>
        <v>0</v>
      </c>
      <c r="EA142" s="41" t="n">
        <f aca="false">Tasks[[#This Row],[_WorkPerWorkday]]*(Tasks[[#This Row],[_StartWorkday]]-1)</f>
        <v>-0</v>
      </c>
      <c r="EB142" s="41" t="n">
        <f aca="false">IF(Tasks[[#This Row],[_IsLeaf]]=1,MAX(N(Tasks[[#This Row],[Duration]]),0.1),0)</f>
        <v>0</v>
      </c>
      <c r="EC142" s="41" t="n">
        <f aca="false">Tasks[[#This Row],[_WeightDur]]*Tasks[[#This Row],[_LeafProgress]]</f>
        <v>0</v>
      </c>
      <c r="ED1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2" s="41" t="str">
        <f aca="false">IF(AND(Tasks[[#This Row],[_IsLeaf]]=1,N(Tasks[[#This Row],[Duration]])=0,Tasks[[#This Row],[_LeafProgress]]&lt;1),Tasks[[#This Row],[_ShownFcstFinish]]+Tasks[[#This Row],[_Row]]/100000,"")</f>
        <v/>
      </c>
      <c r="EF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2" s="41" t="n">
        <f aca="false">IF(NOT(Tasks[[#This Row],[_IsLeaf]]=1),0,IF(Tasks[[#This Row],[Baseline Cost]]="",Tasks[[#This Row],[_LeafTotalCost]],N(Tasks[[#This Row],[Baseline Cost]])))</f>
        <v>0</v>
      </c>
      <c r="EH142" s="41" t="n">
        <f aca="false">Tasks[[#This Row],[_LeafBudget]]*Tasks[[#This Row],[_PlannedPct]]</f>
        <v>0</v>
      </c>
      <c r="EI142" s="41" t="n">
        <f aca="false">Tasks[[#This Row],[_LeafBudget]]*Tasks[[#This Row],[_LeafProgress]]</f>
        <v>0</v>
      </c>
      <c r="EJ142" s="41" t="n">
        <f aca="false">IF(NOT(Tasks[[#This Row],[_IsLeaf]]=1),0,IF(Tasks[[#This Row],[Actual Cost]]="",Tasks[[#This Row],[_LeafTotalCost]]*Tasks[[#This Row],[_LeafProgress]],N(Tasks[[#This Row],[Actual Cost]])))</f>
        <v>0</v>
      </c>
      <c r="EK142" s="41" t="str">
        <f aca="false">IF(Tasks[[#This Row],[Task Name]]="","",LEFT(Tasks[[#This Row],[WBS]],FIND(".",Tasks[[#This Row],[WBS]]&amp;".")-1))</f>
        <v/>
      </c>
      <c r="EL142" s="41" t="str">
        <f aca="false">IF(AND(Tasks[[#This Row],[Task Name]]&lt;&gt;"",Tasks[[#This Row],[_Level]]=1),Tasks[[#This Row],[_Row]],"")</f>
        <v/>
      </c>
      <c r="EM142" s="41" t="str">
        <f aca="false">IF(AND(Tasks[[#This Row],[_IsLeaf]]=1,N(Tasks[[#This Row],[Duration]])=0),Tasks[[#This Row],[Planned Finish]]+Tasks[[#This Row],[_Row]]/100000,"")</f>
        <v/>
      </c>
      <c r="EN142" s="41" t="str">
        <f aca="false">IF(AND(Tasks[[#This Row],[_IsLeaf]]=1,Tasks[[#This Row],[_LeafProgress]]&lt;1,OR(N(Tasks[[#This Row],[Finish Var]])&gt;0,Tasks[[#This Row],[Status]]="Late Start")),MAX(0,Tasks[[#This Row],[Finish Var]])+1-Tasks[[#This Row],[_Row]]/1000000,"")</f>
        <v/>
      </c>
      <c r="EO142" s="41" t="str">
        <f aca="false">IF(AND(Tasks[[#This Row],[_IsLeaf]]=1,N(Tasks[[#This Row],[Actual Start]])=0,Tasks[[#This Row],[_ShownFcstStart]]&gt;=StatusDate,Tasks[[#This Row],[_ShownFcstStart]]&lt;=LookaheadEnd),Tasks[[#This Row],[_ShownFcstStart]]+Tasks[[#This Row],[_Row]]/100000,"")</f>
        <v/>
      </c>
      <c r="EP142" s="41" t="str">
        <f aca="false">IF(AND(Tasks[[#This Row],[_IsLeaf]]=1,Tasks[[#This Row],[_LeafProgress]]&lt;1,Tasks[[#This Row],[_ShownFcstFinish]]&gt;=StatusDate,Tasks[[#This Row],[_ShownFcstFinish]]&lt;=LookaheadEnd),Tasks[[#This Row],[_ShownFcstFinish]]+Tasks[[#This Row],[_Row]]/100000,"")</f>
        <v/>
      </c>
      <c r="EQ142" s="41" t="str">
        <f aca="false">IF(Tasks[[#This Row],[_LeafCritical]],Tasks[[#This Row],[_ShownFcstStart]]+Tasks[[#This Row],[_Row]]/100000,"")</f>
        <v/>
      </c>
      <c r="ER142" s="41" t="n">
        <f aca="false">Tasks[[#This Row],[_LeafWork]]*Tasks[[#This Row],[_LeafProgress]]</f>
        <v>0</v>
      </c>
      <c r="ES142" s="101" t="str">
        <f aca="false">IF(AND(Tasks[[#This Row],[_IsLeaf]]=1,Tasks[[#This Row],[_LeafProgress]]&gt;=1),IF(N(Tasks[[#This Row],[Actual Finish]])&gt;0,Tasks[[#This Row],[Actual Finish]],Tasks[[#This Row],[_ShownFcstFinish]]),"")</f>
        <v/>
      </c>
      <c r="ET142" s="41" t="n">
        <f aca="false">IF(Tasks[[#This Row],[_IsLeaf]]=1,N(Tasks[[#This Row],[Story Points]]),0)</f>
        <v>0</v>
      </c>
      <c r="EU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29"/>
      <c r="O143" s="29"/>
      <c r="P143" s="29"/>
      <c r="Q143" s="29"/>
      <c r="R143" s="29"/>
      <c r="S143" s="29"/>
      <c r="T143" s="30"/>
      <c r="U143" s="75"/>
      <c r="V143" s="75"/>
      <c r="W143" s="25" t="str">
        <f aca="false">IF(Tasks[[#This Row],[Task Name]]="","",IF(N(Tasks[[#This Row],[Baseline Start]])&gt;0,Tasks[[#This Row],[Baseline Start]],Tasks[[#This Row],[_CalcStart]]))</f>
        <v/>
      </c>
      <c r="X143" s="25" t="str">
        <f aca="false">IF(Tasks[[#This Row],[Task Name]]="","",IF(N(Tasks[[#This Row],[Baseline Finish]])&gt;0,Tasks[[#This Row],[Baseline Finish]],Tasks[[#This Row],[_CalcFinish]]))</f>
        <v/>
      </c>
      <c r="Y143" s="75"/>
      <c r="Z143" s="75"/>
      <c r="AA143" s="25" t="str">
        <f aca="false">IF(Tasks[[#This Row],[Task Name]]="","",IF(Tasks[[#This Row],[_IsSummary]],MIN(INDEX(Tasks[_ShownFcstStart],Tasks[[#This Row],[_Row]]+1):INDEX(Tasks[_ShownFcstStart],Tasks[[#This Row],[_Row]]+Tasks[[#This Row],[_Descendants]])),Tasks[[#This Row],[_ShownFcstStart]]))</f>
        <v/>
      </c>
      <c r="AB143" s="25" t="str">
        <f aca="false">IF(Tasks[[#This Row],[Task Name]]="","",IF(Tasks[[#This Row],[_IsSummary]],MAX(INDEX(Tasks[_ShownFcstFinish],Tasks[[#This Row],[_Row]]+1):INDEX(Tasks[_ShownFcstFinish],Tasks[[#This Row],[_Row]]+Tasks[[#This Row],[_Descendants]])),Tasks[[#This Row],[_ShownFcstFinish]]))</f>
        <v/>
      </c>
      <c r="AC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3" s="25" t="str">
        <f aca="false">IF(Tasks[[#This Row],[Task Name]]="","",IF(Tasks[[#This Row],[_IsSummary]],MIN(INDEX(Tasks[_LeafLateStart],Tasks[[#This Row],[_Row]]+1):INDEX(Tasks[_LeafLateStart],Tasks[[#This Row],[_Row]]+Tasks[[#This Row],[_Descendants]])),Tasks[[#This Row],[_LeafLateStart]]))</f>
        <v/>
      </c>
      <c r="AF143" s="25" t="str">
        <f aca="false">IF(Tasks[[#This Row],[Task Name]]="","",IF(Tasks[[#This Row],[_IsSummary]],MAX(INDEX(Tasks[_LeafLateFinish],Tasks[[#This Row],[_Row]]+1):INDEX(Tasks[_LeafLateFinish],Tasks[[#This Row],[_Row]]+Tasks[[#This Row],[_Descendants]])),Tasks[[#This Row],[_LeafLateFinish]]))</f>
        <v/>
      </c>
      <c r="AG143" s="28" t="str">
        <f aca="false">IF(Tasks[[#This Row],[Task Name]]="","",IF(Tasks[[#This Row],[_IsSummary]],MIN(INDEX(Tasks[_LeafTotalSlack],Tasks[[#This Row],[_Row]]+1):INDEX(Tasks[_LeafTotalSlack],Tasks[[#This Row],[_Row]]+Tasks[[#This Row],[_Descendants]])),Tasks[[#This Row],[_LeafTotalSlack]]))</f>
        <v/>
      </c>
      <c r="AH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3" s="28" t="str">
        <f aca="false">IF(Tasks[[#This Row],[Task Name]]="","",IF(IF(Tasks[[#This Row],[_IsSummary]],COUNTIF(INDEX(Tasks[_LeafCritical],Tasks[[#This Row],[_Row]]+1):INDEX(Tasks[_LeafCritical],Tasks[[#This Row],[_Row]]+Tasks[[#This Row],[_Descendants]]),TRUE())&gt;0,Tasks[[#This Row],[_LeafCritical]]),"Yes",""))</f>
        <v/>
      </c>
      <c r="AJ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3" s="89"/>
      <c r="AM1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3" s="28" t="str">
        <f aca="false">IF(Tasks[[#This Row],[Task Name]]="","",IF(Tasks[[#This Row],[Progress]]&gt;=1,"Complete",IF(OR(N(Tasks[[#This Row],[Actual Start]])&gt;0,Tasks[[#This Row],[Progress]]&gt;0),IF(Tasks[[#This Row],[Finish Var]]&gt;0,"Behind","In Progress"),IF(Tasks[[#This Row],[Planned Start]]&lt;StatusDate,"Late Start","Not Started"))))</f>
        <v/>
      </c>
      <c r="AO143" s="30"/>
      <c r="AP143" s="89"/>
      <c r="AQ1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3" s="96" t="str">
        <f aca="false">IF(Tasks[[#This Row],[Task Name]]="","",IF(Tasks[[#This Row],[_IsSummary]],SUM(INDEX(Tasks[_LeafTotalWork],Tasks[[#This Row],[_Row]]+1):INDEX(Tasks[_LeafTotalWork],Tasks[[#This Row],[_Row]]+Tasks[[#This Row],[_Descendants]])),Tasks[[#This Row],[_LeafTotalWork]]))</f>
        <v/>
      </c>
      <c r="AT143" s="97" t="str">
        <f aca="false">IF(Tasks[[#This Row],[Task Name]]="","",IF(Tasks[[#This Row],[_IsSummary]],SUM(INDEX(Tasks[_LeafTotalCost],Tasks[[#This Row],[_Row]]+1):INDEX(Tasks[_LeafTotalCost],Tasks[[#This Row],[_Row]]+Tasks[[#This Row],[_Descendants]])),Tasks[[#This Row],[_LeafTotalCost]]))</f>
        <v/>
      </c>
      <c r="AU143" s="98"/>
      <c r="AV143" s="29"/>
      <c r="AW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3" s="83"/>
      <c r="AY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3" s="30"/>
      <c r="BA143" s="25" t="str">
        <f aca="false">IF(Tasks[[#This Row],[Task Name]]="","",Tasks[[#This Row],[Forecast Start]])</f>
        <v/>
      </c>
      <c r="BB143" s="25" t="str">
        <f aca="false">IF(Tasks[[#This Row],[Task Name]]="","",Tasks[[#This Row],[Forecast Finish]])</f>
        <v/>
      </c>
      <c r="BC143" s="28" t="str">
        <f aca="false">IF(Tasks[[#This Row],[Task Name]]="","",IF(Tasks[[#This Row],[_IsSummary]],NETWORKDAYS.INTL(Tasks[[#This Row],[Forecast Start]],Tasks[[#This Row],[Forecast Finish]],WorkWeek,Holidays),N(Tasks[[#This Row],[Duration]])))</f>
        <v/>
      </c>
      <c r="BD143" s="96" t="str">
        <f aca="false">IF(Tasks[[#This Row],[Task Name]]="","",Tasks[[#This Row],[Work]])</f>
        <v/>
      </c>
      <c r="BE143" s="97" t="str">
        <f aca="false">IF(Tasks[[#This Row],[Task Name]]="","",Tasks[[#This Row],[Cost]])</f>
        <v/>
      </c>
      <c r="BF143" s="75"/>
      <c r="BG143" s="75"/>
      <c r="BH143" s="29"/>
      <c r="BI143" s="99"/>
      <c r="BJ143" s="98"/>
      <c r="BK143" s="28" t="str">
        <f aca="false">IF(OR(Tasks[[#This Row],[Task Name]]="",Tasks[[#This Row],[Baseline Duration]]=""),"",Tasks[[#This Row],[BL Source Duration]]-N(Tasks[[#This Row],[Baseline Duration]]))</f>
        <v/>
      </c>
      <c r="BL143" s="96" t="str">
        <f aca="false">IF(OR(Tasks[[#This Row],[Task Name]]="",Tasks[[#This Row],[Baseline Work]]=""),"",Tasks[[#This Row],[Work]]-N(Tasks[[#This Row],[Baseline Work]]))</f>
        <v/>
      </c>
      <c r="BM143" s="97" t="str">
        <f aca="false">IF(OR(Tasks[[#This Row],[Task Name]]="",Tasks[[#This Row],[Baseline Cost]]=""),"",Tasks[[#This Row],[Cost]]-N(Tasks[[#This Row],[Baseline Cost]]))</f>
        <v/>
      </c>
      <c r="BN143" s="97" t="str">
        <f aca="false">IF(Tasks[[#This Row],[Task Name]]="","",IF(Tasks[[#This Row],[_IsSummary]],SUM(INDEX(Tasks[_LeafBudget],Tasks[[#This Row],[_Row]]+1):INDEX(Tasks[_LeafBudget],Tasks[[#This Row],[_Row]]+Tasks[[#This Row],[_Descendants]])),Tasks[[#This Row],[_LeafBudget]]))</f>
        <v/>
      </c>
      <c r="BO143" s="97" t="str">
        <f aca="false">IF(Tasks[[#This Row],[Task Name]]="","",IF(Tasks[[#This Row],[_IsSummary]],SUM(INDEX(Tasks[_LeafPV],Tasks[[#This Row],[_Row]]+1):INDEX(Tasks[_LeafPV],Tasks[[#This Row],[_Row]]+Tasks[[#This Row],[_Descendants]])),Tasks[[#This Row],[_LeafPV]]))</f>
        <v/>
      </c>
      <c r="BP143" s="97" t="str">
        <f aca="false">IF(Tasks[[#This Row],[Task Name]]="","",IF(Tasks[[#This Row],[_IsSummary]],SUM(INDEX(Tasks[_LeafEV],Tasks[[#This Row],[_Row]]+1):INDEX(Tasks[_LeafEV],Tasks[[#This Row],[_Row]]+Tasks[[#This Row],[_Descendants]])),Tasks[[#This Row],[_LeafEV]]))</f>
        <v/>
      </c>
      <c r="BQ143" s="97" t="str">
        <f aca="false">IF(Tasks[[#This Row],[Task Name]]="","",IF(Tasks[[#This Row],[_IsSummary]],SUM(INDEX(Tasks[_LeafAC],Tasks[[#This Row],[_Row]]+1):INDEX(Tasks[_LeafAC],Tasks[[#This Row],[_Row]]+Tasks[[#This Row],[_Descendants]])),Tasks[[#This Row],[_LeafAC]]))</f>
        <v/>
      </c>
      <c r="BR143" s="41" t="str">
        <f aca="false">IF(Tasks[[#This Row],[Task Name]]="","",MAX(1,N(Tasks[[#This Row],[Level]])))</f>
        <v/>
      </c>
      <c r="BS143" s="41" t="n">
        <f aca="false">ROW()-ROW(Tasks[[#Headers],[ID]])</f>
        <v>138</v>
      </c>
      <c r="BT143" s="41" t="n">
        <f aca="false">IF(OR(Tasks[[#This Row],[Task Name]]="",Tasks[[#This Row],[_Level]]&lt;=1),0,IFERROR(LOOKUP(2,1/(Tasks[[#Headers],[_Level]]:Tasks[[#This Row],[_Level]]=Tasks[[#This Row],[_Level]]-1),ROW(Tasks[[#Headers],[_Level]]:Tasks[[#This Row],[_Level]])),0))</f>
        <v>0</v>
      </c>
      <c r="BU143" s="41" t="n">
        <f aca="false">IFERROR(N(INDEX(Tasks[_Level],Tasks[[#This Row],[_Row]]+1)),0)</f>
        <v>0</v>
      </c>
      <c r="BV143" s="100" t="b">
        <f aca="false">AND(Tasks[[#This Row],[Task Name]]&lt;&gt;"",Tasks[[#This Row],[_NextLevel]]&gt;Tasks[[#This Row],[_Level]])</f>
        <v>0</v>
      </c>
      <c r="BW143" s="41" t="n">
        <f aca="false">IF(Tasks[[#This Row],[_IsSummary]],COUNTIF(Tasks[WBS],Tasks[[#This Row],[WBS]]&amp;".*"),0)</f>
        <v>0</v>
      </c>
      <c r="BX143" s="41" t="n">
        <f aca="false">IF(AND(Tasks[[#This Row],[Task Name]]&lt;&gt;"",NOT(Tasks[[#This Row],[_IsSummary]])),1,0)</f>
        <v>0</v>
      </c>
      <c r="BY143" s="41" t="n">
        <f aca="false">IF(N(Tasks[[#This Row],[Pred1 UID]])=0,0,IFERROR(MATCH(Tasks[[#This Row],[Pred1 UID]],Tasks[UID],0),-1))</f>
        <v>0</v>
      </c>
      <c r="BZ143" s="41" t="n">
        <f aca="false">IF(N(Tasks[[#This Row],[Pred2 UID]])=0,0,IFERROR(MATCH(Tasks[[#This Row],[Pred2 UID]],Tasks[UID],0),-1))</f>
        <v>0</v>
      </c>
      <c r="CA143" s="41" t="n">
        <f aca="false">IF(N(Tasks[[#This Row],[Pred3 UID]])=0,0,IFERROR(MATCH(Tasks[[#This Row],[Pred3 UID]],Tasks[UID],0),-1))</f>
        <v>0</v>
      </c>
      <c r="CB143" s="41" t="n">
        <f aca="false">IF(N(Tasks[[#This Row],[Pred4 UID]])=0,0,IFERROR(MATCH(Tasks[[#This Row],[Pred4 UID]],Tasks[UID],0),-1))</f>
        <v>0</v>
      </c>
      <c r="CC1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3" s="101" t="n">
        <f aca="false">IF(OR(Tasks[[#This Row],[_ConstraintCode]]=2,Tasks[[#This Row],[_ConstraintCode]]=3,Tasks[[#This Row],[_ConstraintCode]]=4,Tasks[[#This Row],[_ConstraintCode]]=6),Tasks[[#This Row],[_ConstraintStart]],0)</f>
        <v>0</v>
      </c>
      <c r="CF143" s="101" t="n">
        <f aca="false">IF(OR(Tasks[[#This Row],[_ConstraintCode]]=2,Tasks[[#This Row],[_ConstraintCode]]=3,Tasks[[#This Row],[_ConstraintCode]]=5,Tasks[[#This Row],[_ConstraintCode]]=7),Tasks[[#This Row],[_ConstraintStart]],2958465)</f>
        <v>2958465</v>
      </c>
      <c r="CG14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3" s="101" t="str">
        <f aca="false">IF(NOT(Tasks[[#This Row],[_IsLeaf]]=1),"",IF(N(Tasks[[#This Row],[Duration]])&lt;=0,Tasks[[#This Row],[_LeafCalcStart]],WORKDAY.INTL(Tasks[[#This Row],[_LeafCalcStart]],Tasks[[#This Row],[Duration]]-1,WorkWeek,Holidays)))</f>
        <v/>
      </c>
      <c r="CI14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3" s="41" t="n">
        <f aca="false">IF(NOT(Tasks[[#This Row],[_IsLeaf]]=1),0,IF(N(Tasks[[#This Row],[Actual Finish]])&gt;0,1,MIN(1,N(Tasks[[#This Row],[% Complete]]))))</f>
        <v>0</v>
      </c>
      <c r="CL143" s="41" t="n">
        <f aca="false">IF(OR(NOT(Tasks[[#This Row],[_IsLeaf]]=1),Tasks[[#This Row],[Resource]]=""),0,N(Tasks[[#This Row],[Duration]])*HoursPerDay*IF(Tasks[[#This Row],[Units]]="",DefaultUnits,Tasks[[#This Row],[Units]]))</f>
        <v>0</v>
      </c>
      <c r="CM143" s="41" t="n">
        <f aca="false">IF(Tasks[[#This Row],[_LeafWork]]=0,0,Tasks[[#This Row],[_LeafWork]]*IFERROR(INDEX(res_Rate,MATCH(Tasks[[#This Row],[Resource]],res_Name,0)),0))</f>
        <v>0</v>
      </c>
      <c r="CN143" s="41" t="n">
        <f aca="false">Tasks[[#This Row],[_LeafWork]]+IF(Tasks[[#This Row],[_IsLeaf]]=1,SUMIFS(asg_Work,asg_TaskUID,Tasks[[#This Row],[UID]],asg_Valid,1),0)</f>
        <v>0</v>
      </c>
      <c r="CO143" s="41" t="n">
        <f aca="false">Tasks[[#This Row],[_LeafCost]]+IF(Tasks[[#This Row],[_IsLeaf]]=1,SUMIFS(asg_Cost,asg_TaskUID,Tasks[[#This Row],[UID]],asg_Valid,1),0)</f>
        <v>0</v>
      </c>
      <c r="CP143" s="41" t="n">
        <f aca="false">IF(Tasks[[#This Row],[_LeafTotalCost]]=0,Tasks[[#This Row],[_LeafAC]],Tasks[[#This Row],[_LeafAC]]*Tasks[[#This Row],[_LeafCost]]/Tasks[[#This Row],[_LeafTotalCost]])</f>
        <v>0</v>
      </c>
      <c r="CQ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3" s="41" t="n">
        <f aca="false">IF(NOT(Tasks[[#This Row],[_IsLeaf]]=1),0,MAX(_xlfn.MAXIFS(Tasks[_Row],Tasks[Pred1 UID],Tasks[[#This Row],[UID]]),_xlfn.MAXIFS(Tasks[_Row],Tasks[Pred2 UID],Tasks[[#This Row],[UID]]),_xlfn.MAXIFS(Tasks[_Row],Tasks[Pred3 UID],Tasks[[#This Row],[UID]]),_xlfn.MAXIFS(Tasks[_Row],Tasks[Pred4 UID],Tasks[[#This Row],[UID]])))</f>
        <v>0</v>
      </c>
      <c r="CZ1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3" s="101" t="str">
        <f aca="false">IF(NOT(Tasks[[#This Row],[_IsLeaf]]=1),"",IF(N(Tasks[[#This Row],[Duration]])&lt;=0,Tasks[[#This Row],[_LeafLateFinish]],WORKDAY.INTL(Tasks[[#This Row],[_LeafLateFinish]],-(Tasks[[#This Row],[Duration]]-1),WorkWeek,Holidays)))</f>
        <v/>
      </c>
      <c r="DC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3" s="100" t="b">
        <f aca="false">AND(Tasks[[#This Row],[_IsLeaf]]=1,Tasks[[#This Row],[_LeafProgress]]&lt;1,N(Tasks[[#This Row],[_LeafTotalSlack]])&lt;=CriticalSlackDays)</f>
        <v>0</v>
      </c>
      <c r="DE143" s="41" t="n">
        <f aca="false">IF(AND(Tasks[[#This Row],[_IsLeaf]]=1,Tasks[[#This Row],[_ConstraintCode]]=1,Tasks[[#This Row],[Mode]]&lt;&gt;"Manual",N(Tasks[[#This Row],[Actual Start]])=0),MAX(0,N(Tasks[[#This Row],[Free Slack]])),0)</f>
        <v>0</v>
      </c>
      <c r="DF143" s="101" t="str">
        <f aca="false">IF(NOT(Tasks[[#This Row],[_IsLeaf]]=1),"",IF(Tasks[[#This Row],[_AlapShift]]=0,Tasks[[#This Row],[_LeafCalcStart]],WORKDAY.INTL(Tasks[[#This Row],[_LeafCalcStart]],Tasks[[#This Row],[_AlapShift]],WorkWeek,Holidays)))</f>
        <v/>
      </c>
      <c r="DG143" s="101" t="str">
        <f aca="false">IF(NOT(Tasks[[#This Row],[_IsLeaf]]=1),"",IF(Tasks[[#This Row],[_AlapShift]]=0,Tasks[[#This Row],[_LeafCalcFinish]],WORKDAY.INTL(Tasks[[#This Row],[_LeafCalcFinish]],Tasks[[#This Row],[_AlapShift]],WorkWeek,Holidays)))</f>
        <v/>
      </c>
      <c r="DH143" s="101" t="str">
        <f aca="false">IF(NOT(Tasks[[#This Row],[_IsLeaf]]=1),"",IF(Tasks[[#This Row],[_AlapShift]]=0,Tasks[[#This Row],[_LeafFcstStart]],WORKDAY.INTL(Tasks[[#This Row],[_LeafFcstStart]],Tasks[[#This Row],[_AlapShift]],WorkWeek,Holidays)))</f>
        <v/>
      </c>
      <c r="DI143" s="101" t="str">
        <f aca="false">IF(NOT(Tasks[[#This Row],[_IsLeaf]]=1),"",IF(Tasks[[#This Row],[_AlapShift]]=0,Tasks[[#This Row],[_LeafFcstFinish]],WORKDAY.INTL(Tasks[[#This Row],[_LeafFcstFinish]],Tasks[[#This Row],[_AlapShift]],WorkWeek,Holidays)))</f>
        <v/>
      </c>
      <c r="DJ143" s="101" t="str">
        <f aca="false">IF(Tasks[[#This Row],[Task Name]]="","",IF(Tasks[[#This Row],[_IsSummary]],MIN(INDEX(Tasks[_ShownCalcStart],Tasks[[#This Row],[_Row]]+1):INDEX(Tasks[_ShownCalcStart],Tasks[[#This Row],[_Row]]+Tasks[[#This Row],[_Descendants]])),Tasks[[#This Row],[_ShownCalcStart]]))</f>
        <v/>
      </c>
      <c r="DK143" s="101" t="str">
        <f aca="false">IF(Tasks[[#This Row],[Task Name]]="","",IF(Tasks[[#This Row],[_IsSummary]],MAX(INDEX(Tasks[_ShownCalcFinish],Tasks[[#This Row],[_Row]]+1):INDEX(Tasks[_ShownCalcFinish],Tasks[[#This Row],[_Row]]+Tasks[[#This Row],[_Descendants]])),Tasks[[#This Row],[_ShownCalcFinish]]))</f>
        <v/>
      </c>
      <c r="D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3" s="41" t="n">
        <f aca="false">IF(AND(Tasks[[#This Row],[_IsLeaf]]=1,Tasks[[#This Row],[_LeafTotalWork]]&gt;0),NETWORKDAYS.INTL(ProjectStart,Tasks[[#This Row],[_ShownFcstStart]],WorkWeek,Holidays),0)</f>
        <v>0</v>
      </c>
      <c r="DY143" s="41" t="n">
        <f aca="false">IF(AND(Tasks[[#This Row],[_IsLeaf]]=1,Tasks[[#This Row],[_LeafTotalWork]]&gt;0),MAX(Tasks[[#This Row],[_StartWorkday]],NETWORKDAYS.INTL(ProjectStart,Tasks[[#This Row],[_ShownFcstFinish]],WorkWeek,Holidays)),0)</f>
        <v>0</v>
      </c>
      <c r="DZ143" s="41" t="n">
        <f aca="false">IF(AND(Tasks[[#This Row],[_IsLeaf]]=1,Tasks[[#This Row],[_LeafTotalWork]]&gt;0),Tasks[[#This Row],[_LeafWork]]/(Tasks[[#This Row],[_FinishWorkday]]-Tasks[[#This Row],[_StartWorkday]]+1),0)</f>
        <v>0</v>
      </c>
      <c r="EA143" s="41" t="n">
        <f aca="false">Tasks[[#This Row],[_WorkPerWorkday]]*(Tasks[[#This Row],[_StartWorkday]]-1)</f>
        <v>-0</v>
      </c>
      <c r="EB143" s="41" t="n">
        <f aca="false">IF(Tasks[[#This Row],[_IsLeaf]]=1,MAX(N(Tasks[[#This Row],[Duration]]),0.1),0)</f>
        <v>0</v>
      </c>
      <c r="EC143" s="41" t="n">
        <f aca="false">Tasks[[#This Row],[_WeightDur]]*Tasks[[#This Row],[_LeafProgress]]</f>
        <v>0</v>
      </c>
      <c r="ED1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3" s="41" t="str">
        <f aca="false">IF(AND(Tasks[[#This Row],[_IsLeaf]]=1,N(Tasks[[#This Row],[Duration]])=0,Tasks[[#This Row],[_LeafProgress]]&lt;1),Tasks[[#This Row],[_ShownFcstFinish]]+Tasks[[#This Row],[_Row]]/100000,"")</f>
        <v/>
      </c>
      <c r="EF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3" s="41" t="n">
        <f aca="false">IF(NOT(Tasks[[#This Row],[_IsLeaf]]=1),0,IF(Tasks[[#This Row],[Baseline Cost]]="",Tasks[[#This Row],[_LeafTotalCost]],N(Tasks[[#This Row],[Baseline Cost]])))</f>
        <v>0</v>
      </c>
      <c r="EH143" s="41" t="n">
        <f aca="false">Tasks[[#This Row],[_LeafBudget]]*Tasks[[#This Row],[_PlannedPct]]</f>
        <v>0</v>
      </c>
      <c r="EI143" s="41" t="n">
        <f aca="false">Tasks[[#This Row],[_LeafBudget]]*Tasks[[#This Row],[_LeafProgress]]</f>
        <v>0</v>
      </c>
      <c r="EJ143" s="41" t="n">
        <f aca="false">IF(NOT(Tasks[[#This Row],[_IsLeaf]]=1),0,IF(Tasks[[#This Row],[Actual Cost]]="",Tasks[[#This Row],[_LeafTotalCost]]*Tasks[[#This Row],[_LeafProgress]],N(Tasks[[#This Row],[Actual Cost]])))</f>
        <v>0</v>
      </c>
      <c r="EK143" s="41" t="str">
        <f aca="false">IF(Tasks[[#This Row],[Task Name]]="","",LEFT(Tasks[[#This Row],[WBS]],FIND(".",Tasks[[#This Row],[WBS]]&amp;".")-1))</f>
        <v/>
      </c>
      <c r="EL143" s="41" t="str">
        <f aca="false">IF(AND(Tasks[[#This Row],[Task Name]]&lt;&gt;"",Tasks[[#This Row],[_Level]]=1),Tasks[[#This Row],[_Row]],"")</f>
        <v/>
      </c>
      <c r="EM143" s="41" t="str">
        <f aca="false">IF(AND(Tasks[[#This Row],[_IsLeaf]]=1,N(Tasks[[#This Row],[Duration]])=0),Tasks[[#This Row],[Planned Finish]]+Tasks[[#This Row],[_Row]]/100000,"")</f>
        <v/>
      </c>
      <c r="EN143" s="41" t="str">
        <f aca="false">IF(AND(Tasks[[#This Row],[_IsLeaf]]=1,Tasks[[#This Row],[_LeafProgress]]&lt;1,OR(N(Tasks[[#This Row],[Finish Var]])&gt;0,Tasks[[#This Row],[Status]]="Late Start")),MAX(0,Tasks[[#This Row],[Finish Var]])+1-Tasks[[#This Row],[_Row]]/1000000,"")</f>
        <v/>
      </c>
      <c r="EO143" s="41" t="str">
        <f aca="false">IF(AND(Tasks[[#This Row],[_IsLeaf]]=1,N(Tasks[[#This Row],[Actual Start]])=0,Tasks[[#This Row],[_ShownFcstStart]]&gt;=StatusDate,Tasks[[#This Row],[_ShownFcstStart]]&lt;=LookaheadEnd),Tasks[[#This Row],[_ShownFcstStart]]+Tasks[[#This Row],[_Row]]/100000,"")</f>
        <v/>
      </c>
      <c r="EP143" s="41" t="str">
        <f aca="false">IF(AND(Tasks[[#This Row],[_IsLeaf]]=1,Tasks[[#This Row],[_LeafProgress]]&lt;1,Tasks[[#This Row],[_ShownFcstFinish]]&gt;=StatusDate,Tasks[[#This Row],[_ShownFcstFinish]]&lt;=LookaheadEnd),Tasks[[#This Row],[_ShownFcstFinish]]+Tasks[[#This Row],[_Row]]/100000,"")</f>
        <v/>
      </c>
      <c r="EQ143" s="41" t="str">
        <f aca="false">IF(Tasks[[#This Row],[_LeafCritical]],Tasks[[#This Row],[_ShownFcstStart]]+Tasks[[#This Row],[_Row]]/100000,"")</f>
        <v/>
      </c>
      <c r="ER143" s="41" t="n">
        <f aca="false">Tasks[[#This Row],[_LeafWork]]*Tasks[[#This Row],[_LeafProgress]]</f>
        <v>0</v>
      </c>
      <c r="ES143" s="101" t="str">
        <f aca="false">IF(AND(Tasks[[#This Row],[_IsLeaf]]=1,Tasks[[#This Row],[_LeafProgress]]&gt;=1),IF(N(Tasks[[#This Row],[Actual Finish]])&gt;0,Tasks[[#This Row],[Actual Finish]],Tasks[[#This Row],[_ShownFcstFinish]]),"")</f>
        <v/>
      </c>
      <c r="ET143" s="41" t="n">
        <f aca="false">IF(Tasks[[#This Row],[_IsLeaf]]=1,N(Tasks[[#This Row],[Story Points]]),0)</f>
        <v>0</v>
      </c>
      <c r="EU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29"/>
      <c r="O144" s="29"/>
      <c r="P144" s="29"/>
      <c r="Q144" s="29"/>
      <c r="R144" s="29"/>
      <c r="S144" s="29"/>
      <c r="T144" s="30"/>
      <c r="U144" s="75"/>
      <c r="V144" s="75"/>
      <c r="W144" s="25" t="str">
        <f aca="false">IF(Tasks[[#This Row],[Task Name]]="","",IF(N(Tasks[[#This Row],[Baseline Start]])&gt;0,Tasks[[#This Row],[Baseline Start]],Tasks[[#This Row],[_CalcStart]]))</f>
        <v/>
      </c>
      <c r="X144" s="25" t="str">
        <f aca="false">IF(Tasks[[#This Row],[Task Name]]="","",IF(N(Tasks[[#This Row],[Baseline Finish]])&gt;0,Tasks[[#This Row],[Baseline Finish]],Tasks[[#This Row],[_CalcFinish]]))</f>
        <v/>
      </c>
      <c r="Y144" s="75"/>
      <c r="Z144" s="75"/>
      <c r="AA144" s="25" t="str">
        <f aca="false">IF(Tasks[[#This Row],[Task Name]]="","",IF(Tasks[[#This Row],[_IsSummary]],MIN(INDEX(Tasks[_ShownFcstStart],Tasks[[#This Row],[_Row]]+1):INDEX(Tasks[_ShownFcstStart],Tasks[[#This Row],[_Row]]+Tasks[[#This Row],[_Descendants]])),Tasks[[#This Row],[_ShownFcstStart]]))</f>
        <v/>
      </c>
      <c r="AB144" s="25" t="str">
        <f aca="false">IF(Tasks[[#This Row],[Task Name]]="","",IF(Tasks[[#This Row],[_IsSummary]],MAX(INDEX(Tasks[_ShownFcstFinish],Tasks[[#This Row],[_Row]]+1):INDEX(Tasks[_ShownFcstFinish],Tasks[[#This Row],[_Row]]+Tasks[[#This Row],[_Descendants]])),Tasks[[#This Row],[_ShownFcstFinish]]))</f>
        <v/>
      </c>
      <c r="AC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4" s="25" t="str">
        <f aca="false">IF(Tasks[[#This Row],[Task Name]]="","",IF(Tasks[[#This Row],[_IsSummary]],MIN(INDEX(Tasks[_LeafLateStart],Tasks[[#This Row],[_Row]]+1):INDEX(Tasks[_LeafLateStart],Tasks[[#This Row],[_Row]]+Tasks[[#This Row],[_Descendants]])),Tasks[[#This Row],[_LeafLateStart]]))</f>
        <v/>
      </c>
      <c r="AF144" s="25" t="str">
        <f aca="false">IF(Tasks[[#This Row],[Task Name]]="","",IF(Tasks[[#This Row],[_IsSummary]],MAX(INDEX(Tasks[_LeafLateFinish],Tasks[[#This Row],[_Row]]+1):INDEX(Tasks[_LeafLateFinish],Tasks[[#This Row],[_Row]]+Tasks[[#This Row],[_Descendants]])),Tasks[[#This Row],[_LeafLateFinish]]))</f>
        <v/>
      </c>
      <c r="AG144" s="28" t="str">
        <f aca="false">IF(Tasks[[#This Row],[Task Name]]="","",IF(Tasks[[#This Row],[_IsSummary]],MIN(INDEX(Tasks[_LeafTotalSlack],Tasks[[#This Row],[_Row]]+1):INDEX(Tasks[_LeafTotalSlack],Tasks[[#This Row],[_Row]]+Tasks[[#This Row],[_Descendants]])),Tasks[[#This Row],[_LeafTotalSlack]]))</f>
        <v/>
      </c>
      <c r="AH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4" s="28" t="str">
        <f aca="false">IF(Tasks[[#This Row],[Task Name]]="","",IF(IF(Tasks[[#This Row],[_IsSummary]],COUNTIF(INDEX(Tasks[_LeafCritical],Tasks[[#This Row],[_Row]]+1):INDEX(Tasks[_LeafCritical],Tasks[[#This Row],[_Row]]+Tasks[[#This Row],[_Descendants]]),TRUE())&gt;0,Tasks[[#This Row],[_LeafCritical]]),"Yes",""))</f>
        <v/>
      </c>
      <c r="AJ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4" s="89"/>
      <c r="AM1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4" s="28" t="str">
        <f aca="false">IF(Tasks[[#This Row],[Task Name]]="","",IF(Tasks[[#This Row],[Progress]]&gt;=1,"Complete",IF(OR(N(Tasks[[#This Row],[Actual Start]])&gt;0,Tasks[[#This Row],[Progress]]&gt;0),IF(Tasks[[#This Row],[Finish Var]]&gt;0,"Behind","In Progress"),IF(Tasks[[#This Row],[Planned Start]]&lt;StatusDate,"Late Start","Not Started"))))</f>
        <v/>
      </c>
      <c r="AO144" s="30"/>
      <c r="AP144" s="89"/>
      <c r="AQ1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4" s="96" t="str">
        <f aca="false">IF(Tasks[[#This Row],[Task Name]]="","",IF(Tasks[[#This Row],[_IsSummary]],SUM(INDEX(Tasks[_LeafTotalWork],Tasks[[#This Row],[_Row]]+1):INDEX(Tasks[_LeafTotalWork],Tasks[[#This Row],[_Row]]+Tasks[[#This Row],[_Descendants]])),Tasks[[#This Row],[_LeafTotalWork]]))</f>
        <v/>
      </c>
      <c r="AT144" s="97" t="str">
        <f aca="false">IF(Tasks[[#This Row],[Task Name]]="","",IF(Tasks[[#This Row],[_IsSummary]],SUM(INDEX(Tasks[_LeafTotalCost],Tasks[[#This Row],[_Row]]+1):INDEX(Tasks[_LeafTotalCost],Tasks[[#This Row],[_Row]]+Tasks[[#This Row],[_Descendants]])),Tasks[[#This Row],[_LeafTotalCost]]))</f>
        <v/>
      </c>
      <c r="AU144" s="98"/>
      <c r="AV144" s="29"/>
      <c r="AW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4" s="83"/>
      <c r="AY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4" s="30"/>
      <c r="BA144" s="25" t="str">
        <f aca="false">IF(Tasks[[#This Row],[Task Name]]="","",Tasks[[#This Row],[Forecast Start]])</f>
        <v/>
      </c>
      <c r="BB144" s="25" t="str">
        <f aca="false">IF(Tasks[[#This Row],[Task Name]]="","",Tasks[[#This Row],[Forecast Finish]])</f>
        <v/>
      </c>
      <c r="BC144" s="28" t="str">
        <f aca="false">IF(Tasks[[#This Row],[Task Name]]="","",IF(Tasks[[#This Row],[_IsSummary]],NETWORKDAYS.INTL(Tasks[[#This Row],[Forecast Start]],Tasks[[#This Row],[Forecast Finish]],WorkWeek,Holidays),N(Tasks[[#This Row],[Duration]])))</f>
        <v/>
      </c>
      <c r="BD144" s="96" t="str">
        <f aca="false">IF(Tasks[[#This Row],[Task Name]]="","",Tasks[[#This Row],[Work]])</f>
        <v/>
      </c>
      <c r="BE144" s="97" t="str">
        <f aca="false">IF(Tasks[[#This Row],[Task Name]]="","",Tasks[[#This Row],[Cost]])</f>
        <v/>
      </c>
      <c r="BF144" s="75"/>
      <c r="BG144" s="75"/>
      <c r="BH144" s="29"/>
      <c r="BI144" s="99"/>
      <c r="BJ144" s="98"/>
      <c r="BK144" s="28" t="str">
        <f aca="false">IF(OR(Tasks[[#This Row],[Task Name]]="",Tasks[[#This Row],[Baseline Duration]]=""),"",Tasks[[#This Row],[BL Source Duration]]-N(Tasks[[#This Row],[Baseline Duration]]))</f>
        <v/>
      </c>
      <c r="BL144" s="96" t="str">
        <f aca="false">IF(OR(Tasks[[#This Row],[Task Name]]="",Tasks[[#This Row],[Baseline Work]]=""),"",Tasks[[#This Row],[Work]]-N(Tasks[[#This Row],[Baseline Work]]))</f>
        <v/>
      </c>
      <c r="BM144" s="97" t="str">
        <f aca="false">IF(OR(Tasks[[#This Row],[Task Name]]="",Tasks[[#This Row],[Baseline Cost]]=""),"",Tasks[[#This Row],[Cost]]-N(Tasks[[#This Row],[Baseline Cost]]))</f>
        <v/>
      </c>
      <c r="BN144" s="97" t="str">
        <f aca="false">IF(Tasks[[#This Row],[Task Name]]="","",IF(Tasks[[#This Row],[_IsSummary]],SUM(INDEX(Tasks[_LeafBudget],Tasks[[#This Row],[_Row]]+1):INDEX(Tasks[_LeafBudget],Tasks[[#This Row],[_Row]]+Tasks[[#This Row],[_Descendants]])),Tasks[[#This Row],[_LeafBudget]]))</f>
        <v/>
      </c>
      <c r="BO144" s="97" t="str">
        <f aca="false">IF(Tasks[[#This Row],[Task Name]]="","",IF(Tasks[[#This Row],[_IsSummary]],SUM(INDEX(Tasks[_LeafPV],Tasks[[#This Row],[_Row]]+1):INDEX(Tasks[_LeafPV],Tasks[[#This Row],[_Row]]+Tasks[[#This Row],[_Descendants]])),Tasks[[#This Row],[_LeafPV]]))</f>
        <v/>
      </c>
      <c r="BP144" s="97" t="str">
        <f aca="false">IF(Tasks[[#This Row],[Task Name]]="","",IF(Tasks[[#This Row],[_IsSummary]],SUM(INDEX(Tasks[_LeafEV],Tasks[[#This Row],[_Row]]+1):INDEX(Tasks[_LeafEV],Tasks[[#This Row],[_Row]]+Tasks[[#This Row],[_Descendants]])),Tasks[[#This Row],[_LeafEV]]))</f>
        <v/>
      </c>
      <c r="BQ144" s="97" t="str">
        <f aca="false">IF(Tasks[[#This Row],[Task Name]]="","",IF(Tasks[[#This Row],[_IsSummary]],SUM(INDEX(Tasks[_LeafAC],Tasks[[#This Row],[_Row]]+1):INDEX(Tasks[_LeafAC],Tasks[[#This Row],[_Row]]+Tasks[[#This Row],[_Descendants]])),Tasks[[#This Row],[_LeafAC]]))</f>
        <v/>
      </c>
      <c r="BR144" s="41" t="str">
        <f aca="false">IF(Tasks[[#This Row],[Task Name]]="","",MAX(1,N(Tasks[[#This Row],[Level]])))</f>
        <v/>
      </c>
      <c r="BS144" s="41" t="n">
        <f aca="false">ROW()-ROW(Tasks[[#Headers],[ID]])</f>
        <v>139</v>
      </c>
      <c r="BT144" s="41" t="n">
        <f aca="false">IF(OR(Tasks[[#This Row],[Task Name]]="",Tasks[[#This Row],[_Level]]&lt;=1),0,IFERROR(LOOKUP(2,1/(Tasks[[#Headers],[_Level]]:Tasks[[#This Row],[_Level]]=Tasks[[#This Row],[_Level]]-1),ROW(Tasks[[#Headers],[_Level]]:Tasks[[#This Row],[_Level]])),0))</f>
        <v>0</v>
      </c>
      <c r="BU144" s="41" t="n">
        <f aca="false">IFERROR(N(INDEX(Tasks[_Level],Tasks[[#This Row],[_Row]]+1)),0)</f>
        <v>0</v>
      </c>
      <c r="BV144" s="100" t="b">
        <f aca="false">AND(Tasks[[#This Row],[Task Name]]&lt;&gt;"",Tasks[[#This Row],[_NextLevel]]&gt;Tasks[[#This Row],[_Level]])</f>
        <v>0</v>
      </c>
      <c r="BW144" s="41" t="n">
        <f aca="false">IF(Tasks[[#This Row],[_IsSummary]],COUNTIF(Tasks[WBS],Tasks[[#This Row],[WBS]]&amp;".*"),0)</f>
        <v>0</v>
      </c>
      <c r="BX144" s="41" t="n">
        <f aca="false">IF(AND(Tasks[[#This Row],[Task Name]]&lt;&gt;"",NOT(Tasks[[#This Row],[_IsSummary]])),1,0)</f>
        <v>0</v>
      </c>
      <c r="BY144" s="41" t="n">
        <f aca="false">IF(N(Tasks[[#This Row],[Pred1 UID]])=0,0,IFERROR(MATCH(Tasks[[#This Row],[Pred1 UID]],Tasks[UID],0),-1))</f>
        <v>0</v>
      </c>
      <c r="BZ144" s="41" t="n">
        <f aca="false">IF(N(Tasks[[#This Row],[Pred2 UID]])=0,0,IFERROR(MATCH(Tasks[[#This Row],[Pred2 UID]],Tasks[UID],0),-1))</f>
        <v>0</v>
      </c>
      <c r="CA144" s="41" t="n">
        <f aca="false">IF(N(Tasks[[#This Row],[Pred3 UID]])=0,0,IFERROR(MATCH(Tasks[[#This Row],[Pred3 UID]],Tasks[UID],0),-1))</f>
        <v>0</v>
      </c>
      <c r="CB144" s="41" t="n">
        <f aca="false">IF(N(Tasks[[#This Row],[Pred4 UID]])=0,0,IFERROR(MATCH(Tasks[[#This Row],[Pred4 UID]],Tasks[UID],0),-1))</f>
        <v>0</v>
      </c>
      <c r="CC1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4" s="101" t="n">
        <f aca="false">IF(OR(Tasks[[#This Row],[_ConstraintCode]]=2,Tasks[[#This Row],[_ConstraintCode]]=3,Tasks[[#This Row],[_ConstraintCode]]=4,Tasks[[#This Row],[_ConstraintCode]]=6),Tasks[[#This Row],[_ConstraintStart]],0)</f>
        <v>0</v>
      </c>
      <c r="CF144" s="101" t="n">
        <f aca="false">IF(OR(Tasks[[#This Row],[_ConstraintCode]]=2,Tasks[[#This Row],[_ConstraintCode]]=3,Tasks[[#This Row],[_ConstraintCode]]=5,Tasks[[#This Row],[_ConstraintCode]]=7),Tasks[[#This Row],[_ConstraintStart]],2958465)</f>
        <v>2958465</v>
      </c>
      <c r="CG14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4" s="101" t="str">
        <f aca="false">IF(NOT(Tasks[[#This Row],[_IsLeaf]]=1),"",IF(N(Tasks[[#This Row],[Duration]])&lt;=0,Tasks[[#This Row],[_LeafCalcStart]],WORKDAY.INTL(Tasks[[#This Row],[_LeafCalcStart]],Tasks[[#This Row],[Duration]]-1,WorkWeek,Holidays)))</f>
        <v/>
      </c>
      <c r="CI14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4" s="41" t="n">
        <f aca="false">IF(NOT(Tasks[[#This Row],[_IsLeaf]]=1),0,IF(N(Tasks[[#This Row],[Actual Finish]])&gt;0,1,MIN(1,N(Tasks[[#This Row],[% Complete]]))))</f>
        <v>0</v>
      </c>
      <c r="CL144" s="41" t="n">
        <f aca="false">IF(OR(NOT(Tasks[[#This Row],[_IsLeaf]]=1),Tasks[[#This Row],[Resource]]=""),0,N(Tasks[[#This Row],[Duration]])*HoursPerDay*IF(Tasks[[#This Row],[Units]]="",DefaultUnits,Tasks[[#This Row],[Units]]))</f>
        <v>0</v>
      </c>
      <c r="CM144" s="41" t="n">
        <f aca="false">IF(Tasks[[#This Row],[_LeafWork]]=0,0,Tasks[[#This Row],[_LeafWork]]*IFERROR(INDEX(res_Rate,MATCH(Tasks[[#This Row],[Resource]],res_Name,0)),0))</f>
        <v>0</v>
      </c>
      <c r="CN144" s="41" t="n">
        <f aca="false">Tasks[[#This Row],[_LeafWork]]+IF(Tasks[[#This Row],[_IsLeaf]]=1,SUMIFS(asg_Work,asg_TaskUID,Tasks[[#This Row],[UID]],asg_Valid,1),0)</f>
        <v>0</v>
      </c>
      <c r="CO144" s="41" t="n">
        <f aca="false">Tasks[[#This Row],[_LeafCost]]+IF(Tasks[[#This Row],[_IsLeaf]]=1,SUMIFS(asg_Cost,asg_TaskUID,Tasks[[#This Row],[UID]],asg_Valid,1),0)</f>
        <v>0</v>
      </c>
      <c r="CP144" s="41" t="n">
        <f aca="false">IF(Tasks[[#This Row],[_LeafTotalCost]]=0,Tasks[[#This Row],[_LeafAC]],Tasks[[#This Row],[_LeafAC]]*Tasks[[#This Row],[_LeafCost]]/Tasks[[#This Row],[_LeafTotalCost]])</f>
        <v>0</v>
      </c>
      <c r="CQ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4" s="41" t="n">
        <f aca="false">IF(NOT(Tasks[[#This Row],[_IsLeaf]]=1),0,MAX(_xlfn.MAXIFS(Tasks[_Row],Tasks[Pred1 UID],Tasks[[#This Row],[UID]]),_xlfn.MAXIFS(Tasks[_Row],Tasks[Pred2 UID],Tasks[[#This Row],[UID]]),_xlfn.MAXIFS(Tasks[_Row],Tasks[Pred3 UID],Tasks[[#This Row],[UID]]),_xlfn.MAXIFS(Tasks[_Row],Tasks[Pred4 UID],Tasks[[#This Row],[UID]])))</f>
        <v>0</v>
      </c>
      <c r="CZ1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4" s="101" t="str">
        <f aca="false">IF(NOT(Tasks[[#This Row],[_IsLeaf]]=1),"",IF(N(Tasks[[#This Row],[Duration]])&lt;=0,Tasks[[#This Row],[_LeafLateFinish]],WORKDAY.INTL(Tasks[[#This Row],[_LeafLateFinish]],-(Tasks[[#This Row],[Duration]]-1),WorkWeek,Holidays)))</f>
        <v/>
      </c>
      <c r="DC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4" s="100" t="b">
        <f aca="false">AND(Tasks[[#This Row],[_IsLeaf]]=1,Tasks[[#This Row],[_LeafProgress]]&lt;1,N(Tasks[[#This Row],[_LeafTotalSlack]])&lt;=CriticalSlackDays)</f>
        <v>0</v>
      </c>
      <c r="DE144" s="41" t="n">
        <f aca="false">IF(AND(Tasks[[#This Row],[_IsLeaf]]=1,Tasks[[#This Row],[_ConstraintCode]]=1,Tasks[[#This Row],[Mode]]&lt;&gt;"Manual",N(Tasks[[#This Row],[Actual Start]])=0),MAX(0,N(Tasks[[#This Row],[Free Slack]])),0)</f>
        <v>0</v>
      </c>
      <c r="DF144" s="101" t="str">
        <f aca="false">IF(NOT(Tasks[[#This Row],[_IsLeaf]]=1),"",IF(Tasks[[#This Row],[_AlapShift]]=0,Tasks[[#This Row],[_LeafCalcStart]],WORKDAY.INTL(Tasks[[#This Row],[_LeafCalcStart]],Tasks[[#This Row],[_AlapShift]],WorkWeek,Holidays)))</f>
        <v/>
      </c>
      <c r="DG144" s="101" t="str">
        <f aca="false">IF(NOT(Tasks[[#This Row],[_IsLeaf]]=1),"",IF(Tasks[[#This Row],[_AlapShift]]=0,Tasks[[#This Row],[_LeafCalcFinish]],WORKDAY.INTL(Tasks[[#This Row],[_LeafCalcFinish]],Tasks[[#This Row],[_AlapShift]],WorkWeek,Holidays)))</f>
        <v/>
      </c>
      <c r="DH144" s="101" t="str">
        <f aca="false">IF(NOT(Tasks[[#This Row],[_IsLeaf]]=1),"",IF(Tasks[[#This Row],[_AlapShift]]=0,Tasks[[#This Row],[_LeafFcstStart]],WORKDAY.INTL(Tasks[[#This Row],[_LeafFcstStart]],Tasks[[#This Row],[_AlapShift]],WorkWeek,Holidays)))</f>
        <v/>
      </c>
      <c r="DI144" s="101" t="str">
        <f aca="false">IF(NOT(Tasks[[#This Row],[_IsLeaf]]=1),"",IF(Tasks[[#This Row],[_AlapShift]]=0,Tasks[[#This Row],[_LeafFcstFinish]],WORKDAY.INTL(Tasks[[#This Row],[_LeafFcstFinish]],Tasks[[#This Row],[_AlapShift]],WorkWeek,Holidays)))</f>
        <v/>
      </c>
      <c r="DJ144" s="101" t="str">
        <f aca="false">IF(Tasks[[#This Row],[Task Name]]="","",IF(Tasks[[#This Row],[_IsSummary]],MIN(INDEX(Tasks[_ShownCalcStart],Tasks[[#This Row],[_Row]]+1):INDEX(Tasks[_ShownCalcStart],Tasks[[#This Row],[_Row]]+Tasks[[#This Row],[_Descendants]])),Tasks[[#This Row],[_ShownCalcStart]]))</f>
        <v/>
      </c>
      <c r="DK144" s="101" t="str">
        <f aca="false">IF(Tasks[[#This Row],[Task Name]]="","",IF(Tasks[[#This Row],[_IsSummary]],MAX(INDEX(Tasks[_ShownCalcFinish],Tasks[[#This Row],[_Row]]+1):INDEX(Tasks[_ShownCalcFinish],Tasks[[#This Row],[_Row]]+Tasks[[#This Row],[_Descendants]])),Tasks[[#This Row],[_ShownCalcFinish]]))</f>
        <v/>
      </c>
      <c r="D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4" s="41" t="n">
        <f aca="false">IF(AND(Tasks[[#This Row],[_IsLeaf]]=1,Tasks[[#This Row],[_LeafTotalWork]]&gt;0),NETWORKDAYS.INTL(ProjectStart,Tasks[[#This Row],[_ShownFcstStart]],WorkWeek,Holidays),0)</f>
        <v>0</v>
      </c>
      <c r="DY144" s="41" t="n">
        <f aca="false">IF(AND(Tasks[[#This Row],[_IsLeaf]]=1,Tasks[[#This Row],[_LeafTotalWork]]&gt;0),MAX(Tasks[[#This Row],[_StartWorkday]],NETWORKDAYS.INTL(ProjectStart,Tasks[[#This Row],[_ShownFcstFinish]],WorkWeek,Holidays)),0)</f>
        <v>0</v>
      </c>
      <c r="DZ144" s="41" t="n">
        <f aca="false">IF(AND(Tasks[[#This Row],[_IsLeaf]]=1,Tasks[[#This Row],[_LeafTotalWork]]&gt;0),Tasks[[#This Row],[_LeafWork]]/(Tasks[[#This Row],[_FinishWorkday]]-Tasks[[#This Row],[_StartWorkday]]+1),0)</f>
        <v>0</v>
      </c>
      <c r="EA144" s="41" t="n">
        <f aca="false">Tasks[[#This Row],[_WorkPerWorkday]]*(Tasks[[#This Row],[_StartWorkday]]-1)</f>
        <v>-0</v>
      </c>
      <c r="EB144" s="41" t="n">
        <f aca="false">IF(Tasks[[#This Row],[_IsLeaf]]=1,MAX(N(Tasks[[#This Row],[Duration]]),0.1),0)</f>
        <v>0</v>
      </c>
      <c r="EC144" s="41" t="n">
        <f aca="false">Tasks[[#This Row],[_WeightDur]]*Tasks[[#This Row],[_LeafProgress]]</f>
        <v>0</v>
      </c>
      <c r="ED1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4" s="41" t="str">
        <f aca="false">IF(AND(Tasks[[#This Row],[_IsLeaf]]=1,N(Tasks[[#This Row],[Duration]])=0,Tasks[[#This Row],[_LeafProgress]]&lt;1),Tasks[[#This Row],[_ShownFcstFinish]]+Tasks[[#This Row],[_Row]]/100000,"")</f>
        <v/>
      </c>
      <c r="EF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4" s="41" t="n">
        <f aca="false">IF(NOT(Tasks[[#This Row],[_IsLeaf]]=1),0,IF(Tasks[[#This Row],[Baseline Cost]]="",Tasks[[#This Row],[_LeafTotalCost]],N(Tasks[[#This Row],[Baseline Cost]])))</f>
        <v>0</v>
      </c>
      <c r="EH144" s="41" t="n">
        <f aca="false">Tasks[[#This Row],[_LeafBudget]]*Tasks[[#This Row],[_PlannedPct]]</f>
        <v>0</v>
      </c>
      <c r="EI144" s="41" t="n">
        <f aca="false">Tasks[[#This Row],[_LeafBudget]]*Tasks[[#This Row],[_LeafProgress]]</f>
        <v>0</v>
      </c>
      <c r="EJ144" s="41" t="n">
        <f aca="false">IF(NOT(Tasks[[#This Row],[_IsLeaf]]=1),0,IF(Tasks[[#This Row],[Actual Cost]]="",Tasks[[#This Row],[_LeafTotalCost]]*Tasks[[#This Row],[_LeafProgress]],N(Tasks[[#This Row],[Actual Cost]])))</f>
        <v>0</v>
      </c>
      <c r="EK144" s="41" t="str">
        <f aca="false">IF(Tasks[[#This Row],[Task Name]]="","",LEFT(Tasks[[#This Row],[WBS]],FIND(".",Tasks[[#This Row],[WBS]]&amp;".")-1))</f>
        <v/>
      </c>
      <c r="EL144" s="41" t="str">
        <f aca="false">IF(AND(Tasks[[#This Row],[Task Name]]&lt;&gt;"",Tasks[[#This Row],[_Level]]=1),Tasks[[#This Row],[_Row]],"")</f>
        <v/>
      </c>
      <c r="EM144" s="41" t="str">
        <f aca="false">IF(AND(Tasks[[#This Row],[_IsLeaf]]=1,N(Tasks[[#This Row],[Duration]])=0),Tasks[[#This Row],[Planned Finish]]+Tasks[[#This Row],[_Row]]/100000,"")</f>
        <v/>
      </c>
      <c r="EN144" s="41" t="str">
        <f aca="false">IF(AND(Tasks[[#This Row],[_IsLeaf]]=1,Tasks[[#This Row],[_LeafProgress]]&lt;1,OR(N(Tasks[[#This Row],[Finish Var]])&gt;0,Tasks[[#This Row],[Status]]="Late Start")),MAX(0,Tasks[[#This Row],[Finish Var]])+1-Tasks[[#This Row],[_Row]]/1000000,"")</f>
        <v/>
      </c>
      <c r="EO144" s="41" t="str">
        <f aca="false">IF(AND(Tasks[[#This Row],[_IsLeaf]]=1,N(Tasks[[#This Row],[Actual Start]])=0,Tasks[[#This Row],[_ShownFcstStart]]&gt;=StatusDate,Tasks[[#This Row],[_ShownFcstStart]]&lt;=LookaheadEnd),Tasks[[#This Row],[_ShownFcstStart]]+Tasks[[#This Row],[_Row]]/100000,"")</f>
        <v/>
      </c>
      <c r="EP144" s="41" t="str">
        <f aca="false">IF(AND(Tasks[[#This Row],[_IsLeaf]]=1,Tasks[[#This Row],[_LeafProgress]]&lt;1,Tasks[[#This Row],[_ShownFcstFinish]]&gt;=StatusDate,Tasks[[#This Row],[_ShownFcstFinish]]&lt;=LookaheadEnd),Tasks[[#This Row],[_ShownFcstFinish]]+Tasks[[#This Row],[_Row]]/100000,"")</f>
        <v/>
      </c>
      <c r="EQ144" s="41" t="str">
        <f aca="false">IF(Tasks[[#This Row],[_LeafCritical]],Tasks[[#This Row],[_ShownFcstStart]]+Tasks[[#This Row],[_Row]]/100000,"")</f>
        <v/>
      </c>
      <c r="ER144" s="41" t="n">
        <f aca="false">Tasks[[#This Row],[_LeafWork]]*Tasks[[#This Row],[_LeafProgress]]</f>
        <v>0</v>
      </c>
      <c r="ES144" s="101" t="str">
        <f aca="false">IF(AND(Tasks[[#This Row],[_IsLeaf]]=1,Tasks[[#This Row],[_LeafProgress]]&gt;=1),IF(N(Tasks[[#This Row],[Actual Finish]])&gt;0,Tasks[[#This Row],[Actual Finish]],Tasks[[#This Row],[_ShownFcstFinish]]),"")</f>
        <v/>
      </c>
      <c r="ET144" s="41" t="n">
        <f aca="false">IF(Tasks[[#This Row],[_IsLeaf]]=1,N(Tasks[[#This Row],[Story Points]]),0)</f>
        <v>0</v>
      </c>
      <c r="EU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29"/>
      <c r="O145" s="29"/>
      <c r="P145" s="29"/>
      <c r="Q145" s="29"/>
      <c r="R145" s="29"/>
      <c r="S145" s="29"/>
      <c r="T145" s="30"/>
      <c r="U145" s="75"/>
      <c r="V145" s="75"/>
      <c r="W145" s="25" t="str">
        <f aca="false">IF(Tasks[[#This Row],[Task Name]]="","",IF(N(Tasks[[#This Row],[Baseline Start]])&gt;0,Tasks[[#This Row],[Baseline Start]],Tasks[[#This Row],[_CalcStart]]))</f>
        <v/>
      </c>
      <c r="X145" s="25" t="str">
        <f aca="false">IF(Tasks[[#This Row],[Task Name]]="","",IF(N(Tasks[[#This Row],[Baseline Finish]])&gt;0,Tasks[[#This Row],[Baseline Finish]],Tasks[[#This Row],[_CalcFinish]]))</f>
        <v/>
      </c>
      <c r="Y145" s="75"/>
      <c r="Z145" s="75"/>
      <c r="AA145" s="25" t="str">
        <f aca="false">IF(Tasks[[#This Row],[Task Name]]="","",IF(Tasks[[#This Row],[_IsSummary]],MIN(INDEX(Tasks[_ShownFcstStart],Tasks[[#This Row],[_Row]]+1):INDEX(Tasks[_ShownFcstStart],Tasks[[#This Row],[_Row]]+Tasks[[#This Row],[_Descendants]])),Tasks[[#This Row],[_ShownFcstStart]]))</f>
        <v/>
      </c>
      <c r="AB145" s="25" t="str">
        <f aca="false">IF(Tasks[[#This Row],[Task Name]]="","",IF(Tasks[[#This Row],[_IsSummary]],MAX(INDEX(Tasks[_ShownFcstFinish],Tasks[[#This Row],[_Row]]+1):INDEX(Tasks[_ShownFcstFinish],Tasks[[#This Row],[_Row]]+Tasks[[#This Row],[_Descendants]])),Tasks[[#This Row],[_ShownFcstFinish]]))</f>
        <v/>
      </c>
      <c r="AC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5" s="25" t="str">
        <f aca="false">IF(Tasks[[#This Row],[Task Name]]="","",IF(Tasks[[#This Row],[_IsSummary]],MIN(INDEX(Tasks[_LeafLateStart],Tasks[[#This Row],[_Row]]+1):INDEX(Tasks[_LeafLateStart],Tasks[[#This Row],[_Row]]+Tasks[[#This Row],[_Descendants]])),Tasks[[#This Row],[_LeafLateStart]]))</f>
        <v/>
      </c>
      <c r="AF145" s="25" t="str">
        <f aca="false">IF(Tasks[[#This Row],[Task Name]]="","",IF(Tasks[[#This Row],[_IsSummary]],MAX(INDEX(Tasks[_LeafLateFinish],Tasks[[#This Row],[_Row]]+1):INDEX(Tasks[_LeafLateFinish],Tasks[[#This Row],[_Row]]+Tasks[[#This Row],[_Descendants]])),Tasks[[#This Row],[_LeafLateFinish]]))</f>
        <v/>
      </c>
      <c r="AG145" s="28" t="str">
        <f aca="false">IF(Tasks[[#This Row],[Task Name]]="","",IF(Tasks[[#This Row],[_IsSummary]],MIN(INDEX(Tasks[_LeafTotalSlack],Tasks[[#This Row],[_Row]]+1):INDEX(Tasks[_LeafTotalSlack],Tasks[[#This Row],[_Row]]+Tasks[[#This Row],[_Descendants]])),Tasks[[#This Row],[_LeafTotalSlack]]))</f>
        <v/>
      </c>
      <c r="AH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5" s="28" t="str">
        <f aca="false">IF(Tasks[[#This Row],[Task Name]]="","",IF(IF(Tasks[[#This Row],[_IsSummary]],COUNTIF(INDEX(Tasks[_LeafCritical],Tasks[[#This Row],[_Row]]+1):INDEX(Tasks[_LeafCritical],Tasks[[#This Row],[_Row]]+Tasks[[#This Row],[_Descendants]]),TRUE())&gt;0,Tasks[[#This Row],[_LeafCritical]]),"Yes",""))</f>
        <v/>
      </c>
      <c r="AJ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5" s="89"/>
      <c r="AM1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5" s="28" t="str">
        <f aca="false">IF(Tasks[[#This Row],[Task Name]]="","",IF(Tasks[[#This Row],[Progress]]&gt;=1,"Complete",IF(OR(N(Tasks[[#This Row],[Actual Start]])&gt;0,Tasks[[#This Row],[Progress]]&gt;0),IF(Tasks[[#This Row],[Finish Var]]&gt;0,"Behind","In Progress"),IF(Tasks[[#This Row],[Planned Start]]&lt;StatusDate,"Late Start","Not Started"))))</f>
        <v/>
      </c>
      <c r="AO145" s="30"/>
      <c r="AP145" s="89"/>
      <c r="AQ1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5" s="96" t="str">
        <f aca="false">IF(Tasks[[#This Row],[Task Name]]="","",IF(Tasks[[#This Row],[_IsSummary]],SUM(INDEX(Tasks[_LeafTotalWork],Tasks[[#This Row],[_Row]]+1):INDEX(Tasks[_LeafTotalWork],Tasks[[#This Row],[_Row]]+Tasks[[#This Row],[_Descendants]])),Tasks[[#This Row],[_LeafTotalWork]]))</f>
        <v/>
      </c>
      <c r="AT145" s="97" t="str">
        <f aca="false">IF(Tasks[[#This Row],[Task Name]]="","",IF(Tasks[[#This Row],[_IsSummary]],SUM(INDEX(Tasks[_LeafTotalCost],Tasks[[#This Row],[_Row]]+1):INDEX(Tasks[_LeafTotalCost],Tasks[[#This Row],[_Row]]+Tasks[[#This Row],[_Descendants]])),Tasks[[#This Row],[_LeafTotalCost]]))</f>
        <v/>
      </c>
      <c r="AU145" s="98"/>
      <c r="AV145" s="29"/>
      <c r="AW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5" s="83"/>
      <c r="AY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5" s="30"/>
      <c r="BA145" s="25" t="str">
        <f aca="false">IF(Tasks[[#This Row],[Task Name]]="","",Tasks[[#This Row],[Forecast Start]])</f>
        <v/>
      </c>
      <c r="BB145" s="25" t="str">
        <f aca="false">IF(Tasks[[#This Row],[Task Name]]="","",Tasks[[#This Row],[Forecast Finish]])</f>
        <v/>
      </c>
      <c r="BC145" s="28" t="str">
        <f aca="false">IF(Tasks[[#This Row],[Task Name]]="","",IF(Tasks[[#This Row],[_IsSummary]],NETWORKDAYS.INTL(Tasks[[#This Row],[Forecast Start]],Tasks[[#This Row],[Forecast Finish]],WorkWeek,Holidays),N(Tasks[[#This Row],[Duration]])))</f>
        <v/>
      </c>
      <c r="BD145" s="96" t="str">
        <f aca="false">IF(Tasks[[#This Row],[Task Name]]="","",Tasks[[#This Row],[Work]])</f>
        <v/>
      </c>
      <c r="BE145" s="97" t="str">
        <f aca="false">IF(Tasks[[#This Row],[Task Name]]="","",Tasks[[#This Row],[Cost]])</f>
        <v/>
      </c>
      <c r="BF145" s="75"/>
      <c r="BG145" s="75"/>
      <c r="BH145" s="29"/>
      <c r="BI145" s="99"/>
      <c r="BJ145" s="98"/>
      <c r="BK145" s="28" t="str">
        <f aca="false">IF(OR(Tasks[[#This Row],[Task Name]]="",Tasks[[#This Row],[Baseline Duration]]=""),"",Tasks[[#This Row],[BL Source Duration]]-N(Tasks[[#This Row],[Baseline Duration]]))</f>
        <v/>
      </c>
      <c r="BL145" s="96" t="str">
        <f aca="false">IF(OR(Tasks[[#This Row],[Task Name]]="",Tasks[[#This Row],[Baseline Work]]=""),"",Tasks[[#This Row],[Work]]-N(Tasks[[#This Row],[Baseline Work]]))</f>
        <v/>
      </c>
      <c r="BM145" s="97" t="str">
        <f aca="false">IF(OR(Tasks[[#This Row],[Task Name]]="",Tasks[[#This Row],[Baseline Cost]]=""),"",Tasks[[#This Row],[Cost]]-N(Tasks[[#This Row],[Baseline Cost]]))</f>
        <v/>
      </c>
      <c r="BN145" s="97" t="str">
        <f aca="false">IF(Tasks[[#This Row],[Task Name]]="","",IF(Tasks[[#This Row],[_IsSummary]],SUM(INDEX(Tasks[_LeafBudget],Tasks[[#This Row],[_Row]]+1):INDEX(Tasks[_LeafBudget],Tasks[[#This Row],[_Row]]+Tasks[[#This Row],[_Descendants]])),Tasks[[#This Row],[_LeafBudget]]))</f>
        <v/>
      </c>
      <c r="BO145" s="97" t="str">
        <f aca="false">IF(Tasks[[#This Row],[Task Name]]="","",IF(Tasks[[#This Row],[_IsSummary]],SUM(INDEX(Tasks[_LeafPV],Tasks[[#This Row],[_Row]]+1):INDEX(Tasks[_LeafPV],Tasks[[#This Row],[_Row]]+Tasks[[#This Row],[_Descendants]])),Tasks[[#This Row],[_LeafPV]]))</f>
        <v/>
      </c>
      <c r="BP145" s="97" t="str">
        <f aca="false">IF(Tasks[[#This Row],[Task Name]]="","",IF(Tasks[[#This Row],[_IsSummary]],SUM(INDEX(Tasks[_LeafEV],Tasks[[#This Row],[_Row]]+1):INDEX(Tasks[_LeafEV],Tasks[[#This Row],[_Row]]+Tasks[[#This Row],[_Descendants]])),Tasks[[#This Row],[_LeafEV]]))</f>
        <v/>
      </c>
      <c r="BQ145" s="97" t="str">
        <f aca="false">IF(Tasks[[#This Row],[Task Name]]="","",IF(Tasks[[#This Row],[_IsSummary]],SUM(INDEX(Tasks[_LeafAC],Tasks[[#This Row],[_Row]]+1):INDEX(Tasks[_LeafAC],Tasks[[#This Row],[_Row]]+Tasks[[#This Row],[_Descendants]])),Tasks[[#This Row],[_LeafAC]]))</f>
        <v/>
      </c>
      <c r="BR145" s="41" t="str">
        <f aca="false">IF(Tasks[[#This Row],[Task Name]]="","",MAX(1,N(Tasks[[#This Row],[Level]])))</f>
        <v/>
      </c>
      <c r="BS145" s="41" t="n">
        <f aca="false">ROW()-ROW(Tasks[[#Headers],[ID]])</f>
        <v>140</v>
      </c>
      <c r="BT145" s="41" t="n">
        <f aca="false">IF(OR(Tasks[[#This Row],[Task Name]]="",Tasks[[#This Row],[_Level]]&lt;=1),0,IFERROR(LOOKUP(2,1/(Tasks[[#Headers],[_Level]]:Tasks[[#This Row],[_Level]]=Tasks[[#This Row],[_Level]]-1),ROW(Tasks[[#Headers],[_Level]]:Tasks[[#This Row],[_Level]])),0))</f>
        <v>0</v>
      </c>
      <c r="BU145" s="41" t="n">
        <f aca="false">IFERROR(N(INDEX(Tasks[_Level],Tasks[[#This Row],[_Row]]+1)),0)</f>
        <v>0</v>
      </c>
      <c r="BV145" s="100" t="b">
        <f aca="false">AND(Tasks[[#This Row],[Task Name]]&lt;&gt;"",Tasks[[#This Row],[_NextLevel]]&gt;Tasks[[#This Row],[_Level]])</f>
        <v>0</v>
      </c>
      <c r="BW145" s="41" t="n">
        <f aca="false">IF(Tasks[[#This Row],[_IsSummary]],COUNTIF(Tasks[WBS],Tasks[[#This Row],[WBS]]&amp;".*"),0)</f>
        <v>0</v>
      </c>
      <c r="BX145" s="41" t="n">
        <f aca="false">IF(AND(Tasks[[#This Row],[Task Name]]&lt;&gt;"",NOT(Tasks[[#This Row],[_IsSummary]])),1,0)</f>
        <v>0</v>
      </c>
      <c r="BY145" s="41" t="n">
        <f aca="false">IF(N(Tasks[[#This Row],[Pred1 UID]])=0,0,IFERROR(MATCH(Tasks[[#This Row],[Pred1 UID]],Tasks[UID],0),-1))</f>
        <v>0</v>
      </c>
      <c r="BZ145" s="41" t="n">
        <f aca="false">IF(N(Tasks[[#This Row],[Pred2 UID]])=0,0,IFERROR(MATCH(Tasks[[#This Row],[Pred2 UID]],Tasks[UID],0),-1))</f>
        <v>0</v>
      </c>
      <c r="CA145" s="41" t="n">
        <f aca="false">IF(N(Tasks[[#This Row],[Pred3 UID]])=0,0,IFERROR(MATCH(Tasks[[#This Row],[Pred3 UID]],Tasks[UID],0),-1))</f>
        <v>0</v>
      </c>
      <c r="CB145" s="41" t="n">
        <f aca="false">IF(N(Tasks[[#This Row],[Pred4 UID]])=0,0,IFERROR(MATCH(Tasks[[#This Row],[Pred4 UID]],Tasks[UID],0),-1))</f>
        <v>0</v>
      </c>
      <c r="CC1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5" s="101" t="n">
        <f aca="false">IF(OR(Tasks[[#This Row],[_ConstraintCode]]=2,Tasks[[#This Row],[_ConstraintCode]]=3,Tasks[[#This Row],[_ConstraintCode]]=4,Tasks[[#This Row],[_ConstraintCode]]=6),Tasks[[#This Row],[_ConstraintStart]],0)</f>
        <v>0</v>
      </c>
      <c r="CF145" s="101" t="n">
        <f aca="false">IF(OR(Tasks[[#This Row],[_ConstraintCode]]=2,Tasks[[#This Row],[_ConstraintCode]]=3,Tasks[[#This Row],[_ConstraintCode]]=5,Tasks[[#This Row],[_ConstraintCode]]=7),Tasks[[#This Row],[_ConstraintStart]],2958465)</f>
        <v>2958465</v>
      </c>
      <c r="CG14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5" s="101" t="str">
        <f aca="false">IF(NOT(Tasks[[#This Row],[_IsLeaf]]=1),"",IF(N(Tasks[[#This Row],[Duration]])&lt;=0,Tasks[[#This Row],[_LeafCalcStart]],WORKDAY.INTL(Tasks[[#This Row],[_LeafCalcStart]],Tasks[[#This Row],[Duration]]-1,WorkWeek,Holidays)))</f>
        <v/>
      </c>
      <c r="CI14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5" s="41" t="n">
        <f aca="false">IF(NOT(Tasks[[#This Row],[_IsLeaf]]=1),0,IF(N(Tasks[[#This Row],[Actual Finish]])&gt;0,1,MIN(1,N(Tasks[[#This Row],[% Complete]]))))</f>
        <v>0</v>
      </c>
      <c r="CL145" s="41" t="n">
        <f aca="false">IF(OR(NOT(Tasks[[#This Row],[_IsLeaf]]=1),Tasks[[#This Row],[Resource]]=""),0,N(Tasks[[#This Row],[Duration]])*HoursPerDay*IF(Tasks[[#This Row],[Units]]="",DefaultUnits,Tasks[[#This Row],[Units]]))</f>
        <v>0</v>
      </c>
      <c r="CM145" s="41" t="n">
        <f aca="false">IF(Tasks[[#This Row],[_LeafWork]]=0,0,Tasks[[#This Row],[_LeafWork]]*IFERROR(INDEX(res_Rate,MATCH(Tasks[[#This Row],[Resource]],res_Name,0)),0))</f>
        <v>0</v>
      </c>
      <c r="CN145" s="41" t="n">
        <f aca="false">Tasks[[#This Row],[_LeafWork]]+IF(Tasks[[#This Row],[_IsLeaf]]=1,SUMIFS(asg_Work,asg_TaskUID,Tasks[[#This Row],[UID]],asg_Valid,1),0)</f>
        <v>0</v>
      </c>
      <c r="CO145" s="41" t="n">
        <f aca="false">Tasks[[#This Row],[_LeafCost]]+IF(Tasks[[#This Row],[_IsLeaf]]=1,SUMIFS(asg_Cost,asg_TaskUID,Tasks[[#This Row],[UID]],asg_Valid,1),0)</f>
        <v>0</v>
      </c>
      <c r="CP145" s="41" t="n">
        <f aca="false">IF(Tasks[[#This Row],[_LeafTotalCost]]=0,Tasks[[#This Row],[_LeafAC]],Tasks[[#This Row],[_LeafAC]]*Tasks[[#This Row],[_LeafCost]]/Tasks[[#This Row],[_LeafTotalCost]])</f>
        <v>0</v>
      </c>
      <c r="CQ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5" s="41" t="n">
        <f aca="false">IF(NOT(Tasks[[#This Row],[_IsLeaf]]=1),0,MAX(_xlfn.MAXIFS(Tasks[_Row],Tasks[Pred1 UID],Tasks[[#This Row],[UID]]),_xlfn.MAXIFS(Tasks[_Row],Tasks[Pred2 UID],Tasks[[#This Row],[UID]]),_xlfn.MAXIFS(Tasks[_Row],Tasks[Pred3 UID],Tasks[[#This Row],[UID]]),_xlfn.MAXIFS(Tasks[_Row],Tasks[Pred4 UID],Tasks[[#This Row],[UID]])))</f>
        <v>0</v>
      </c>
      <c r="CZ1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5" s="101" t="str">
        <f aca="false">IF(NOT(Tasks[[#This Row],[_IsLeaf]]=1),"",IF(N(Tasks[[#This Row],[Duration]])&lt;=0,Tasks[[#This Row],[_LeafLateFinish]],WORKDAY.INTL(Tasks[[#This Row],[_LeafLateFinish]],-(Tasks[[#This Row],[Duration]]-1),WorkWeek,Holidays)))</f>
        <v/>
      </c>
      <c r="DC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5" s="100" t="b">
        <f aca="false">AND(Tasks[[#This Row],[_IsLeaf]]=1,Tasks[[#This Row],[_LeafProgress]]&lt;1,N(Tasks[[#This Row],[_LeafTotalSlack]])&lt;=CriticalSlackDays)</f>
        <v>0</v>
      </c>
      <c r="DE145" s="41" t="n">
        <f aca="false">IF(AND(Tasks[[#This Row],[_IsLeaf]]=1,Tasks[[#This Row],[_ConstraintCode]]=1,Tasks[[#This Row],[Mode]]&lt;&gt;"Manual",N(Tasks[[#This Row],[Actual Start]])=0),MAX(0,N(Tasks[[#This Row],[Free Slack]])),0)</f>
        <v>0</v>
      </c>
      <c r="DF145" s="101" t="str">
        <f aca="false">IF(NOT(Tasks[[#This Row],[_IsLeaf]]=1),"",IF(Tasks[[#This Row],[_AlapShift]]=0,Tasks[[#This Row],[_LeafCalcStart]],WORKDAY.INTL(Tasks[[#This Row],[_LeafCalcStart]],Tasks[[#This Row],[_AlapShift]],WorkWeek,Holidays)))</f>
        <v/>
      </c>
      <c r="DG145" s="101" t="str">
        <f aca="false">IF(NOT(Tasks[[#This Row],[_IsLeaf]]=1),"",IF(Tasks[[#This Row],[_AlapShift]]=0,Tasks[[#This Row],[_LeafCalcFinish]],WORKDAY.INTL(Tasks[[#This Row],[_LeafCalcFinish]],Tasks[[#This Row],[_AlapShift]],WorkWeek,Holidays)))</f>
        <v/>
      </c>
      <c r="DH145" s="101" t="str">
        <f aca="false">IF(NOT(Tasks[[#This Row],[_IsLeaf]]=1),"",IF(Tasks[[#This Row],[_AlapShift]]=0,Tasks[[#This Row],[_LeafFcstStart]],WORKDAY.INTL(Tasks[[#This Row],[_LeafFcstStart]],Tasks[[#This Row],[_AlapShift]],WorkWeek,Holidays)))</f>
        <v/>
      </c>
      <c r="DI145" s="101" t="str">
        <f aca="false">IF(NOT(Tasks[[#This Row],[_IsLeaf]]=1),"",IF(Tasks[[#This Row],[_AlapShift]]=0,Tasks[[#This Row],[_LeafFcstFinish]],WORKDAY.INTL(Tasks[[#This Row],[_LeafFcstFinish]],Tasks[[#This Row],[_AlapShift]],WorkWeek,Holidays)))</f>
        <v/>
      </c>
      <c r="DJ145" s="101" t="str">
        <f aca="false">IF(Tasks[[#This Row],[Task Name]]="","",IF(Tasks[[#This Row],[_IsSummary]],MIN(INDEX(Tasks[_ShownCalcStart],Tasks[[#This Row],[_Row]]+1):INDEX(Tasks[_ShownCalcStart],Tasks[[#This Row],[_Row]]+Tasks[[#This Row],[_Descendants]])),Tasks[[#This Row],[_ShownCalcStart]]))</f>
        <v/>
      </c>
      <c r="DK145" s="101" t="str">
        <f aca="false">IF(Tasks[[#This Row],[Task Name]]="","",IF(Tasks[[#This Row],[_IsSummary]],MAX(INDEX(Tasks[_ShownCalcFinish],Tasks[[#This Row],[_Row]]+1):INDEX(Tasks[_ShownCalcFinish],Tasks[[#This Row],[_Row]]+Tasks[[#This Row],[_Descendants]])),Tasks[[#This Row],[_ShownCalcFinish]]))</f>
        <v/>
      </c>
      <c r="D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5" s="41" t="n">
        <f aca="false">IF(AND(Tasks[[#This Row],[_IsLeaf]]=1,Tasks[[#This Row],[_LeafTotalWork]]&gt;0),NETWORKDAYS.INTL(ProjectStart,Tasks[[#This Row],[_ShownFcstStart]],WorkWeek,Holidays),0)</f>
        <v>0</v>
      </c>
      <c r="DY145" s="41" t="n">
        <f aca="false">IF(AND(Tasks[[#This Row],[_IsLeaf]]=1,Tasks[[#This Row],[_LeafTotalWork]]&gt;0),MAX(Tasks[[#This Row],[_StartWorkday]],NETWORKDAYS.INTL(ProjectStart,Tasks[[#This Row],[_ShownFcstFinish]],WorkWeek,Holidays)),0)</f>
        <v>0</v>
      </c>
      <c r="DZ145" s="41" t="n">
        <f aca="false">IF(AND(Tasks[[#This Row],[_IsLeaf]]=1,Tasks[[#This Row],[_LeafTotalWork]]&gt;0),Tasks[[#This Row],[_LeafWork]]/(Tasks[[#This Row],[_FinishWorkday]]-Tasks[[#This Row],[_StartWorkday]]+1),0)</f>
        <v>0</v>
      </c>
      <c r="EA145" s="41" t="n">
        <f aca="false">Tasks[[#This Row],[_WorkPerWorkday]]*(Tasks[[#This Row],[_StartWorkday]]-1)</f>
        <v>-0</v>
      </c>
      <c r="EB145" s="41" t="n">
        <f aca="false">IF(Tasks[[#This Row],[_IsLeaf]]=1,MAX(N(Tasks[[#This Row],[Duration]]),0.1),0)</f>
        <v>0</v>
      </c>
      <c r="EC145" s="41" t="n">
        <f aca="false">Tasks[[#This Row],[_WeightDur]]*Tasks[[#This Row],[_LeafProgress]]</f>
        <v>0</v>
      </c>
      <c r="ED1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5" s="41" t="str">
        <f aca="false">IF(AND(Tasks[[#This Row],[_IsLeaf]]=1,N(Tasks[[#This Row],[Duration]])=0,Tasks[[#This Row],[_LeafProgress]]&lt;1),Tasks[[#This Row],[_ShownFcstFinish]]+Tasks[[#This Row],[_Row]]/100000,"")</f>
        <v/>
      </c>
      <c r="EF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5" s="41" t="n">
        <f aca="false">IF(NOT(Tasks[[#This Row],[_IsLeaf]]=1),0,IF(Tasks[[#This Row],[Baseline Cost]]="",Tasks[[#This Row],[_LeafTotalCost]],N(Tasks[[#This Row],[Baseline Cost]])))</f>
        <v>0</v>
      </c>
      <c r="EH145" s="41" t="n">
        <f aca="false">Tasks[[#This Row],[_LeafBudget]]*Tasks[[#This Row],[_PlannedPct]]</f>
        <v>0</v>
      </c>
      <c r="EI145" s="41" t="n">
        <f aca="false">Tasks[[#This Row],[_LeafBudget]]*Tasks[[#This Row],[_LeafProgress]]</f>
        <v>0</v>
      </c>
      <c r="EJ145" s="41" t="n">
        <f aca="false">IF(NOT(Tasks[[#This Row],[_IsLeaf]]=1),0,IF(Tasks[[#This Row],[Actual Cost]]="",Tasks[[#This Row],[_LeafTotalCost]]*Tasks[[#This Row],[_LeafProgress]],N(Tasks[[#This Row],[Actual Cost]])))</f>
        <v>0</v>
      </c>
      <c r="EK145" s="41" t="str">
        <f aca="false">IF(Tasks[[#This Row],[Task Name]]="","",LEFT(Tasks[[#This Row],[WBS]],FIND(".",Tasks[[#This Row],[WBS]]&amp;".")-1))</f>
        <v/>
      </c>
      <c r="EL145" s="41" t="str">
        <f aca="false">IF(AND(Tasks[[#This Row],[Task Name]]&lt;&gt;"",Tasks[[#This Row],[_Level]]=1),Tasks[[#This Row],[_Row]],"")</f>
        <v/>
      </c>
      <c r="EM145" s="41" t="str">
        <f aca="false">IF(AND(Tasks[[#This Row],[_IsLeaf]]=1,N(Tasks[[#This Row],[Duration]])=0),Tasks[[#This Row],[Planned Finish]]+Tasks[[#This Row],[_Row]]/100000,"")</f>
        <v/>
      </c>
      <c r="EN145" s="41" t="str">
        <f aca="false">IF(AND(Tasks[[#This Row],[_IsLeaf]]=1,Tasks[[#This Row],[_LeafProgress]]&lt;1,OR(N(Tasks[[#This Row],[Finish Var]])&gt;0,Tasks[[#This Row],[Status]]="Late Start")),MAX(0,Tasks[[#This Row],[Finish Var]])+1-Tasks[[#This Row],[_Row]]/1000000,"")</f>
        <v/>
      </c>
      <c r="EO145" s="41" t="str">
        <f aca="false">IF(AND(Tasks[[#This Row],[_IsLeaf]]=1,N(Tasks[[#This Row],[Actual Start]])=0,Tasks[[#This Row],[_ShownFcstStart]]&gt;=StatusDate,Tasks[[#This Row],[_ShownFcstStart]]&lt;=LookaheadEnd),Tasks[[#This Row],[_ShownFcstStart]]+Tasks[[#This Row],[_Row]]/100000,"")</f>
        <v/>
      </c>
      <c r="EP145" s="41" t="str">
        <f aca="false">IF(AND(Tasks[[#This Row],[_IsLeaf]]=1,Tasks[[#This Row],[_LeafProgress]]&lt;1,Tasks[[#This Row],[_ShownFcstFinish]]&gt;=StatusDate,Tasks[[#This Row],[_ShownFcstFinish]]&lt;=LookaheadEnd),Tasks[[#This Row],[_ShownFcstFinish]]+Tasks[[#This Row],[_Row]]/100000,"")</f>
        <v/>
      </c>
      <c r="EQ145" s="41" t="str">
        <f aca="false">IF(Tasks[[#This Row],[_LeafCritical]],Tasks[[#This Row],[_ShownFcstStart]]+Tasks[[#This Row],[_Row]]/100000,"")</f>
        <v/>
      </c>
      <c r="ER145" s="41" t="n">
        <f aca="false">Tasks[[#This Row],[_LeafWork]]*Tasks[[#This Row],[_LeafProgress]]</f>
        <v>0</v>
      </c>
      <c r="ES145" s="101" t="str">
        <f aca="false">IF(AND(Tasks[[#This Row],[_IsLeaf]]=1,Tasks[[#This Row],[_LeafProgress]]&gt;=1),IF(N(Tasks[[#This Row],[Actual Finish]])&gt;0,Tasks[[#This Row],[Actual Finish]],Tasks[[#This Row],[_ShownFcstFinish]]),"")</f>
        <v/>
      </c>
      <c r="ET145" s="41" t="n">
        <f aca="false">IF(Tasks[[#This Row],[_IsLeaf]]=1,N(Tasks[[#This Row],[Story Points]]),0)</f>
        <v>0</v>
      </c>
      <c r="EU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29"/>
      <c r="O146" s="29"/>
      <c r="P146" s="29"/>
      <c r="Q146" s="29"/>
      <c r="R146" s="29"/>
      <c r="S146" s="29"/>
      <c r="T146" s="30"/>
      <c r="U146" s="75"/>
      <c r="V146" s="75"/>
      <c r="W146" s="25" t="str">
        <f aca="false">IF(Tasks[[#This Row],[Task Name]]="","",IF(N(Tasks[[#This Row],[Baseline Start]])&gt;0,Tasks[[#This Row],[Baseline Start]],Tasks[[#This Row],[_CalcStart]]))</f>
        <v/>
      </c>
      <c r="X146" s="25" t="str">
        <f aca="false">IF(Tasks[[#This Row],[Task Name]]="","",IF(N(Tasks[[#This Row],[Baseline Finish]])&gt;0,Tasks[[#This Row],[Baseline Finish]],Tasks[[#This Row],[_CalcFinish]]))</f>
        <v/>
      </c>
      <c r="Y146" s="75"/>
      <c r="Z146" s="75"/>
      <c r="AA146" s="25" t="str">
        <f aca="false">IF(Tasks[[#This Row],[Task Name]]="","",IF(Tasks[[#This Row],[_IsSummary]],MIN(INDEX(Tasks[_ShownFcstStart],Tasks[[#This Row],[_Row]]+1):INDEX(Tasks[_ShownFcstStart],Tasks[[#This Row],[_Row]]+Tasks[[#This Row],[_Descendants]])),Tasks[[#This Row],[_ShownFcstStart]]))</f>
        <v/>
      </c>
      <c r="AB146" s="25" t="str">
        <f aca="false">IF(Tasks[[#This Row],[Task Name]]="","",IF(Tasks[[#This Row],[_IsSummary]],MAX(INDEX(Tasks[_ShownFcstFinish],Tasks[[#This Row],[_Row]]+1):INDEX(Tasks[_ShownFcstFinish],Tasks[[#This Row],[_Row]]+Tasks[[#This Row],[_Descendants]])),Tasks[[#This Row],[_ShownFcstFinish]]))</f>
        <v/>
      </c>
      <c r="AC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6" s="25" t="str">
        <f aca="false">IF(Tasks[[#This Row],[Task Name]]="","",IF(Tasks[[#This Row],[_IsSummary]],MIN(INDEX(Tasks[_LeafLateStart],Tasks[[#This Row],[_Row]]+1):INDEX(Tasks[_LeafLateStart],Tasks[[#This Row],[_Row]]+Tasks[[#This Row],[_Descendants]])),Tasks[[#This Row],[_LeafLateStart]]))</f>
        <v/>
      </c>
      <c r="AF146" s="25" t="str">
        <f aca="false">IF(Tasks[[#This Row],[Task Name]]="","",IF(Tasks[[#This Row],[_IsSummary]],MAX(INDEX(Tasks[_LeafLateFinish],Tasks[[#This Row],[_Row]]+1):INDEX(Tasks[_LeafLateFinish],Tasks[[#This Row],[_Row]]+Tasks[[#This Row],[_Descendants]])),Tasks[[#This Row],[_LeafLateFinish]]))</f>
        <v/>
      </c>
      <c r="AG146" s="28" t="str">
        <f aca="false">IF(Tasks[[#This Row],[Task Name]]="","",IF(Tasks[[#This Row],[_IsSummary]],MIN(INDEX(Tasks[_LeafTotalSlack],Tasks[[#This Row],[_Row]]+1):INDEX(Tasks[_LeafTotalSlack],Tasks[[#This Row],[_Row]]+Tasks[[#This Row],[_Descendants]])),Tasks[[#This Row],[_LeafTotalSlack]]))</f>
        <v/>
      </c>
      <c r="AH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6" s="28" t="str">
        <f aca="false">IF(Tasks[[#This Row],[Task Name]]="","",IF(IF(Tasks[[#This Row],[_IsSummary]],COUNTIF(INDEX(Tasks[_LeafCritical],Tasks[[#This Row],[_Row]]+1):INDEX(Tasks[_LeafCritical],Tasks[[#This Row],[_Row]]+Tasks[[#This Row],[_Descendants]]),TRUE())&gt;0,Tasks[[#This Row],[_LeafCritical]]),"Yes",""))</f>
        <v/>
      </c>
      <c r="AJ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6" s="89"/>
      <c r="AM1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6" s="28" t="str">
        <f aca="false">IF(Tasks[[#This Row],[Task Name]]="","",IF(Tasks[[#This Row],[Progress]]&gt;=1,"Complete",IF(OR(N(Tasks[[#This Row],[Actual Start]])&gt;0,Tasks[[#This Row],[Progress]]&gt;0),IF(Tasks[[#This Row],[Finish Var]]&gt;0,"Behind","In Progress"),IF(Tasks[[#This Row],[Planned Start]]&lt;StatusDate,"Late Start","Not Started"))))</f>
        <v/>
      </c>
      <c r="AO146" s="30"/>
      <c r="AP146" s="89"/>
      <c r="AQ1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6" s="96" t="str">
        <f aca="false">IF(Tasks[[#This Row],[Task Name]]="","",IF(Tasks[[#This Row],[_IsSummary]],SUM(INDEX(Tasks[_LeafTotalWork],Tasks[[#This Row],[_Row]]+1):INDEX(Tasks[_LeafTotalWork],Tasks[[#This Row],[_Row]]+Tasks[[#This Row],[_Descendants]])),Tasks[[#This Row],[_LeafTotalWork]]))</f>
        <v/>
      </c>
      <c r="AT146" s="97" t="str">
        <f aca="false">IF(Tasks[[#This Row],[Task Name]]="","",IF(Tasks[[#This Row],[_IsSummary]],SUM(INDEX(Tasks[_LeafTotalCost],Tasks[[#This Row],[_Row]]+1):INDEX(Tasks[_LeafTotalCost],Tasks[[#This Row],[_Row]]+Tasks[[#This Row],[_Descendants]])),Tasks[[#This Row],[_LeafTotalCost]]))</f>
        <v/>
      </c>
      <c r="AU146" s="98"/>
      <c r="AV146" s="29"/>
      <c r="AW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6" s="83"/>
      <c r="AY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6" s="30"/>
      <c r="BA146" s="25" t="str">
        <f aca="false">IF(Tasks[[#This Row],[Task Name]]="","",Tasks[[#This Row],[Forecast Start]])</f>
        <v/>
      </c>
      <c r="BB146" s="25" t="str">
        <f aca="false">IF(Tasks[[#This Row],[Task Name]]="","",Tasks[[#This Row],[Forecast Finish]])</f>
        <v/>
      </c>
      <c r="BC146" s="28" t="str">
        <f aca="false">IF(Tasks[[#This Row],[Task Name]]="","",IF(Tasks[[#This Row],[_IsSummary]],NETWORKDAYS.INTL(Tasks[[#This Row],[Forecast Start]],Tasks[[#This Row],[Forecast Finish]],WorkWeek,Holidays),N(Tasks[[#This Row],[Duration]])))</f>
        <v/>
      </c>
      <c r="BD146" s="96" t="str">
        <f aca="false">IF(Tasks[[#This Row],[Task Name]]="","",Tasks[[#This Row],[Work]])</f>
        <v/>
      </c>
      <c r="BE146" s="97" t="str">
        <f aca="false">IF(Tasks[[#This Row],[Task Name]]="","",Tasks[[#This Row],[Cost]])</f>
        <v/>
      </c>
      <c r="BF146" s="75"/>
      <c r="BG146" s="75"/>
      <c r="BH146" s="29"/>
      <c r="BI146" s="99"/>
      <c r="BJ146" s="98"/>
      <c r="BK146" s="28" t="str">
        <f aca="false">IF(OR(Tasks[[#This Row],[Task Name]]="",Tasks[[#This Row],[Baseline Duration]]=""),"",Tasks[[#This Row],[BL Source Duration]]-N(Tasks[[#This Row],[Baseline Duration]]))</f>
        <v/>
      </c>
      <c r="BL146" s="96" t="str">
        <f aca="false">IF(OR(Tasks[[#This Row],[Task Name]]="",Tasks[[#This Row],[Baseline Work]]=""),"",Tasks[[#This Row],[Work]]-N(Tasks[[#This Row],[Baseline Work]]))</f>
        <v/>
      </c>
      <c r="BM146" s="97" t="str">
        <f aca="false">IF(OR(Tasks[[#This Row],[Task Name]]="",Tasks[[#This Row],[Baseline Cost]]=""),"",Tasks[[#This Row],[Cost]]-N(Tasks[[#This Row],[Baseline Cost]]))</f>
        <v/>
      </c>
      <c r="BN146" s="97" t="str">
        <f aca="false">IF(Tasks[[#This Row],[Task Name]]="","",IF(Tasks[[#This Row],[_IsSummary]],SUM(INDEX(Tasks[_LeafBudget],Tasks[[#This Row],[_Row]]+1):INDEX(Tasks[_LeafBudget],Tasks[[#This Row],[_Row]]+Tasks[[#This Row],[_Descendants]])),Tasks[[#This Row],[_LeafBudget]]))</f>
        <v/>
      </c>
      <c r="BO146" s="97" t="str">
        <f aca="false">IF(Tasks[[#This Row],[Task Name]]="","",IF(Tasks[[#This Row],[_IsSummary]],SUM(INDEX(Tasks[_LeafPV],Tasks[[#This Row],[_Row]]+1):INDEX(Tasks[_LeafPV],Tasks[[#This Row],[_Row]]+Tasks[[#This Row],[_Descendants]])),Tasks[[#This Row],[_LeafPV]]))</f>
        <v/>
      </c>
      <c r="BP146" s="97" t="str">
        <f aca="false">IF(Tasks[[#This Row],[Task Name]]="","",IF(Tasks[[#This Row],[_IsSummary]],SUM(INDEX(Tasks[_LeafEV],Tasks[[#This Row],[_Row]]+1):INDEX(Tasks[_LeafEV],Tasks[[#This Row],[_Row]]+Tasks[[#This Row],[_Descendants]])),Tasks[[#This Row],[_LeafEV]]))</f>
        <v/>
      </c>
      <c r="BQ146" s="97" t="str">
        <f aca="false">IF(Tasks[[#This Row],[Task Name]]="","",IF(Tasks[[#This Row],[_IsSummary]],SUM(INDEX(Tasks[_LeafAC],Tasks[[#This Row],[_Row]]+1):INDEX(Tasks[_LeafAC],Tasks[[#This Row],[_Row]]+Tasks[[#This Row],[_Descendants]])),Tasks[[#This Row],[_LeafAC]]))</f>
        <v/>
      </c>
      <c r="BR146" s="41" t="str">
        <f aca="false">IF(Tasks[[#This Row],[Task Name]]="","",MAX(1,N(Tasks[[#This Row],[Level]])))</f>
        <v/>
      </c>
      <c r="BS146" s="41" t="n">
        <f aca="false">ROW()-ROW(Tasks[[#Headers],[ID]])</f>
        <v>141</v>
      </c>
      <c r="BT146" s="41" t="n">
        <f aca="false">IF(OR(Tasks[[#This Row],[Task Name]]="",Tasks[[#This Row],[_Level]]&lt;=1),0,IFERROR(LOOKUP(2,1/(Tasks[[#Headers],[_Level]]:Tasks[[#This Row],[_Level]]=Tasks[[#This Row],[_Level]]-1),ROW(Tasks[[#Headers],[_Level]]:Tasks[[#This Row],[_Level]])),0))</f>
        <v>0</v>
      </c>
      <c r="BU146" s="41" t="n">
        <f aca="false">IFERROR(N(INDEX(Tasks[_Level],Tasks[[#This Row],[_Row]]+1)),0)</f>
        <v>0</v>
      </c>
      <c r="BV146" s="100" t="b">
        <f aca="false">AND(Tasks[[#This Row],[Task Name]]&lt;&gt;"",Tasks[[#This Row],[_NextLevel]]&gt;Tasks[[#This Row],[_Level]])</f>
        <v>0</v>
      </c>
      <c r="BW146" s="41" t="n">
        <f aca="false">IF(Tasks[[#This Row],[_IsSummary]],COUNTIF(Tasks[WBS],Tasks[[#This Row],[WBS]]&amp;".*"),0)</f>
        <v>0</v>
      </c>
      <c r="BX146" s="41" t="n">
        <f aca="false">IF(AND(Tasks[[#This Row],[Task Name]]&lt;&gt;"",NOT(Tasks[[#This Row],[_IsSummary]])),1,0)</f>
        <v>0</v>
      </c>
      <c r="BY146" s="41" t="n">
        <f aca="false">IF(N(Tasks[[#This Row],[Pred1 UID]])=0,0,IFERROR(MATCH(Tasks[[#This Row],[Pred1 UID]],Tasks[UID],0),-1))</f>
        <v>0</v>
      </c>
      <c r="BZ146" s="41" t="n">
        <f aca="false">IF(N(Tasks[[#This Row],[Pred2 UID]])=0,0,IFERROR(MATCH(Tasks[[#This Row],[Pred2 UID]],Tasks[UID],0),-1))</f>
        <v>0</v>
      </c>
      <c r="CA146" s="41" t="n">
        <f aca="false">IF(N(Tasks[[#This Row],[Pred3 UID]])=0,0,IFERROR(MATCH(Tasks[[#This Row],[Pred3 UID]],Tasks[UID],0),-1))</f>
        <v>0</v>
      </c>
      <c r="CB146" s="41" t="n">
        <f aca="false">IF(N(Tasks[[#This Row],[Pred4 UID]])=0,0,IFERROR(MATCH(Tasks[[#This Row],[Pred4 UID]],Tasks[UID],0),-1))</f>
        <v>0</v>
      </c>
      <c r="CC1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6" s="101" t="n">
        <f aca="false">IF(OR(Tasks[[#This Row],[_ConstraintCode]]=2,Tasks[[#This Row],[_ConstraintCode]]=3,Tasks[[#This Row],[_ConstraintCode]]=4,Tasks[[#This Row],[_ConstraintCode]]=6),Tasks[[#This Row],[_ConstraintStart]],0)</f>
        <v>0</v>
      </c>
      <c r="CF146" s="101" t="n">
        <f aca="false">IF(OR(Tasks[[#This Row],[_ConstraintCode]]=2,Tasks[[#This Row],[_ConstraintCode]]=3,Tasks[[#This Row],[_ConstraintCode]]=5,Tasks[[#This Row],[_ConstraintCode]]=7),Tasks[[#This Row],[_ConstraintStart]],2958465)</f>
        <v>2958465</v>
      </c>
      <c r="CG14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6" s="101" t="str">
        <f aca="false">IF(NOT(Tasks[[#This Row],[_IsLeaf]]=1),"",IF(N(Tasks[[#This Row],[Duration]])&lt;=0,Tasks[[#This Row],[_LeafCalcStart]],WORKDAY.INTL(Tasks[[#This Row],[_LeafCalcStart]],Tasks[[#This Row],[Duration]]-1,WorkWeek,Holidays)))</f>
        <v/>
      </c>
      <c r="CI14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6" s="41" t="n">
        <f aca="false">IF(NOT(Tasks[[#This Row],[_IsLeaf]]=1),0,IF(N(Tasks[[#This Row],[Actual Finish]])&gt;0,1,MIN(1,N(Tasks[[#This Row],[% Complete]]))))</f>
        <v>0</v>
      </c>
      <c r="CL146" s="41" t="n">
        <f aca="false">IF(OR(NOT(Tasks[[#This Row],[_IsLeaf]]=1),Tasks[[#This Row],[Resource]]=""),0,N(Tasks[[#This Row],[Duration]])*HoursPerDay*IF(Tasks[[#This Row],[Units]]="",DefaultUnits,Tasks[[#This Row],[Units]]))</f>
        <v>0</v>
      </c>
      <c r="CM146" s="41" t="n">
        <f aca="false">IF(Tasks[[#This Row],[_LeafWork]]=0,0,Tasks[[#This Row],[_LeafWork]]*IFERROR(INDEX(res_Rate,MATCH(Tasks[[#This Row],[Resource]],res_Name,0)),0))</f>
        <v>0</v>
      </c>
      <c r="CN146" s="41" t="n">
        <f aca="false">Tasks[[#This Row],[_LeafWork]]+IF(Tasks[[#This Row],[_IsLeaf]]=1,SUMIFS(asg_Work,asg_TaskUID,Tasks[[#This Row],[UID]],asg_Valid,1),0)</f>
        <v>0</v>
      </c>
      <c r="CO146" s="41" t="n">
        <f aca="false">Tasks[[#This Row],[_LeafCost]]+IF(Tasks[[#This Row],[_IsLeaf]]=1,SUMIFS(asg_Cost,asg_TaskUID,Tasks[[#This Row],[UID]],asg_Valid,1),0)</f>
        <v>0</v>
      </c>
      <c r="CP146" s="41" t="n">
        <f aca="false">IF(Tasks[[#This Row],[_LeafTotalCost]]=0,Tasks[[#This Row],[_LeafAC]],Tasks[[#This Row],[_LeafAC]]*Tasks[[#This Row],[_LeafCost]]/Tasks[[#This Row],[_LeafTotalCost]])</f>
        <v>0</v>
      </c>
      <c r="CQ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6" s="41" t="n">
        <f aca="false">IF(NOT(Tasks[[#This Row],[_IsLeaf]]=1),0,MAX(_xlfn.MAXIFS(Tasks[_Row],Tasks[Pred1 UID],Tasks[[#This Row],[UID]]),_xlfn.MAXIFS(Tasks[_Row],Tasks[Pred2 UID],Tasks[[#This Row],[UID]]),_xlfn.MAXIFS(Tasks[_Row],Tasks[Pred3 UID],Tasks[[#This Row],[UID]]),_xlfn.MAXIFS(Tasks[_Row],Tasks[Pred4 UID],Tasks[[#This Row],[UID]])))</f>
        <v>0</v>
      </c>
      <c r="CZ1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6" s="101" t="str">
        <f aca="false">IF(NOT(Tasks[[#This Row],[_IsLeaf]]=1),"",IF(N(Tasks[[#This Row],[Duration]])&lt;=0,Tasks[[#This Row],[_LeafLateFinish]],WORKDAY.INTL(Tasks[[#This Row],[_LeafLateFinish]],-(Tasks[[#This Row],[Duration]]-1),WorkWeek,Holidays)))</f>
        <v/>
      </c>
      <c r="DC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6" s="100" t="b">
        <f aca="false">AND(Tasks[[#This Row],[_IsLeaf]]=1,Tasks[[#This Row],[_LeafProgress]]&lt;1,N(Tasks[[#This Row],[_LeafTotalSlack]])&lt;=CriticalSlackDays)</f>
        <v>0</v>
      </c>
      <c r="DE146" s="41" t="n">
        <f aca="false">IF(AND(Tasks[[#This Row],[_IsLeaf]]=1,Tasks[[#This Row],[_ConstraintCode]]=1,Tasks[[#This Row],[Mode]]&lt;&gt;"Manual",N(Tasks[[#This Row],[Actual Start]])=0),MAX(0,N(Tasks[[#This Row],[Free Slack]])),0)</f>
        <v>0</v>
      </c>
      <c r="DF146" s="101" t="str">
        <f aca="false">IF(NOT(Tasks[[#This Row],[_IsLeaf]]=1),"",IF(Tasks[[#This Row],[_AlapShift]]=0,Tasks[[#This Row],[_LeafCalcStart]],WORKDAY.INTL(Tasks[[#This Row],[_LeafCalcStart]],Tasks[[#This Row],[_AlapShift]],WorkWeek,Holidays)))</f>
        <v/>
      </c>
      <c r="DG146" s="101" t="str">
        <f aca="false">IF(NOT(Tasks[[#This Row],[_IsLeaf]]=1),"",IF(Tasks[[#This Row],[_AlapShift]]=0,Tasks[[#This Row],[_LeafCalcFinish]],WORKDAY.INTL(Tasks[[#This Row],[_LeafCalcFinish]],Tasks[[#This Row],[_AlapShift]],WorkWeek,Holidays)))</f>
        <v/>
      </c>
      <c r="DH146" s="101" t="str">
        <f aca="false">IF(NOT(Tasks[[#This Row],[_IsLeaf]]=1),"",IF(Tasks[[#This Row],[_AlapShift]]=0,Tasks[[#This Row],[_LeafFcstStart]],WORKDAY.INTL(Tasks[[#This Row],[_LeafFcstStart]],Tasks[[#This Row],[_AlapShift]],WorkWeek,Holidays)))</f>
        <v/>
      </c>
      <c r="DI146" s="101" t="str">
        <f aca="false">IF(NOT(Tasks[[#This Row],[_IsLeaf]]=1),"",IF(Tasks[[#This Row],[_AlapShift]]=0,Tasks[[#This Row],[_LeafFcstFinish]],WORKDAY.INTL(Tasks[[#This Row],[_LeafFcstFinish]],Tasks[[#This Row],[_AlapShift]],WorkWeek,Holidays)))</f>
        <v/>
      </c>
      <c r="DJ146" s="101" t="str">
        <f aca="false">IF(Tasks[[#This Row],[Task Name]]="","",IF(Tasks[[#This Row],[_IsSummary]],MIN(INDEX(Tasks[_ShownCalcStart],Tasks[[#This Row],[_Row]]+1):INDEX(Tasks[_ShownCalcStart],Tasks[[#This Row],[_Row]]+Tasks[[#This Row],[_Descendants]])),Tasks[[#This Row],[_ShownCalcStart]]))</f>
        <v/>
      </c>
      <c r="DK146" s="101" t="str">
        <f aca="false">IF(Tasks[[#This Row],[Task Name]]="","",IF(Tasks[[#This Row],[_IsSummary]],MAX(INDEX(Tasks[_ShownCalcFinish],Tasks[[#This Row],[_Row]]+1):INDEX(Tasks[_ShownCalcFinish],Tasks[[#This Row],[_Row]]+Tasks[[#This Row],[_Descendants]])),Tasks[[#This Row],[_ShownCalcFinish]]))</f>
        <v/>
      </c>
      <c r="D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6" s="41" t="n">
        <f aca="false">IF(AND(Tasks[[#This Row],[_IsLeaf]]=1,Tasks[[#This Row],[_LeafTotalWork]]&gt;0),NETWORKDAYS.INTL(ProjectStart,Tasks[[#This Row],[_ShownFcstStart]],WorkWeek,Holidays),0)</f>
        <v>0</v>
      </c>
      <c r="DY146" s="41" t="n">
        <f aca="false">IF(AND(Tasks[[#This Row],[_IsLeaf]]=1,Tasks[[#This Row],[_LeafTotalWork]]&gt;0),MAX(Tasks[[#This Row],[_StartWorkday]],NETWORKDAYS.INTL(ProjectStart,Tasks[[#This Row],[_ShownFcstFinish]],WorkWeek,Holidays)),0)</f>
        <v>0</v>
      </c>
      <c r="DZ146" s="41" t="n">
        <f aca="false">IF(AND(Tasks[[#This Row],[_IsLeaf]]=1,Tasks[[#This Row],[_LeafTotalWork]]&gt;0),Tasks[[#This Row],[_LeafWork]]/(Tasks[[#This Row],[_FinishWorkday]]-Tasks[[#This Row],[_StartWorkday]]+1),0)</f>
        <v>0</v>
      </c>
      <c r="EA146" s="41" t="n">
        <f aca="false">Tasks[[#This Row],[_WorkPerWorkday]]*(Tasks[[#This Row],[_StartWorkday]]-1)</f>
        <v>-0</v>
      </c>
      <c r="EB146" s="41" t="n">
        <f aca="false">IF(Tasks[[#This Row],[_IsLeaf]]=1,MAX(N(Tasks[[#This Row],[Duration]]),0.1),0)</f>
        <v>0</v>
      </c>
      <c r="EC146" s="41" t="n">
        <f aca="false">Tasks[[#This Row],[_WeightDur]]*Tasks[[#This Row],[_LeafProgress]]</f>
        <v>0</v>
      </c>
      <c r="ED1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6" s="41" t="str">
        <f aca="false">IF(AND(Tasks[[#This Row],[_IsLeaf]]=1,N(Tasks[[#This Row],[Duration]])=0,Tasks[[#This Row],[_LeafProgress]]&lt;1),Tasks[[#This Row],[_ShownFcstFinish]]+Tasks[[#This Row],[_Row]]/100000,"")</f>
        <v/>
      </c>
      <c r="EF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6" s="41" t="n">
        <f aca="false">IF(NOT(Tasks[[#This Row],[_IsLeaf]]=1),0,IF(Tasks[[#This Row],[Baseline Cost]]="",Tasks[[#This Row],[_LeafTotalCost]],N(Tasks[[#This Row],[Baseline Cost]])))</f>
        <v>0</v>
      </c>
      <c r="EH146" s="41" t="n">
        <f aca="false">Tasks[[#This Row],[_LeafBudget]]*Tasks[[#This Row],[_PlannedPct]]</f>
        <v>0</v>
      </c>
      <c r="EI146" s="41" t="n">
        <f aca="false">Tasks[[#This Row],[_LeafBudget]]*Tasks[[#This Row],[_LeafProgress]]</f>
        <v>0</v>
      </c>
      <c r="EJ146" s="41" t="n">
        <f aca="false">IF(NOT(Tasks[[#This Row],[_IsLeaf]]=1),0,IF(Tasks[[#This Row],[Actual Cost]]="",Tasks[[#This Row],[_LeafTotalCost]]*Tasks[[#This Row],[_LeafProgress]],N(Tasks[[#This Row],[Actual Cost]])))</f>
        <v>0</v>
      </c>
      <c r="EK146" s="41" t="str">
        <f aca="false">IF(Tasks[[#This Row],[Task Name]]="","",LEFT(Tasks[[#This Row],[WBS]],FIND(".",Tasks[[#This Row],[WBS]]&amp;".")-1))</f>
        <v/>
      </c>
      <c r="EL146" s="41" t="str">
        <f aca="false">IF(AND(Tasks[[#This Row],[Task Name]]&lt;&gt;"",Tasks[[#This Row],[_Level]]=1),Tasks[[#This Row],[_Row]],"")</f>
        <v/>
      </c>
      <c r="EM146" s="41" t="str">
        <f aca="false">IF(AND(Tasks[[#This Row],[_IsLeaf]]=1,N(Tasks[[#This Row],[Duration]])=0),Tasks[[#This Row],[Planned Finish]]+Tasks[[#This Row],[_Row]]/100000,"")</f>
        <v/>
      </c>
      <c r="EN146" s="41" t="str">
        <f aca="false">IF(AND(Tasks[[#This Row],[_IsLeaf]]=1,Tasks[[#This Row],[_LeafProgress]]&lt;1,OR(N(Tasks[[#This Row],[Finish Var]])&gt;0,Tasks[[#This Row],[Status]]="Late Start")),MAX(0,Tasks[[#This Row],[Finish Var]])+1-Tasks[[#This Row],[_Row]]/1000000,"")</f>
        <v/>
      </c>
      <c r="EO146" s="41" t="str">
        <f aca="false">IF(AND(Tasks[[#This Row],[_IsLeaf]]=1,N(Tasks[[#This Row],[Actual Start]])=0,Tasks[[#This Row],[_ShownFcstStart]]&gt;=StatusDate,Tasks[[#This Row],[_ShownFcstStart]]&lt;=LookaheadEnd),Tasks[[#This Row],[_ShownFcstStart]]+Tasks[[#This Row],[_Row]]/100000,"")</f>
        <v/>
      </c>
      <c r="EP146" s="41" t="str">
        <f aca="false">IF(AND(Tasks[[#This Row],[_IsLeaf]]=1,Tasks[[#This Row],[_LeafProgress]]&lt;1,Tasks[[#This Row],[_ShownFcstFinish]]&gt;=StatusDate,Tasks[[#This Row],[_ShownFcstFinish]]&lt;=LookaheadEnd),Tasks[[#This Row],[_ShownFcstFinish]]+Tasks[[#This Row],[_Row]]/100000,"")</f>
        <v/>
      </c>
      <c r="EQ146" s="41" t="str">
        <f aca="false">IF(Tasks[[#This Row],[_LeafCritical]],Tasks[[#This Row],[_ShownFcstStart]]+Tasks[[#This Row],[_Row]]/100000,"")</f>
        <v/>
      </c>
      <c r="ER146" s="41" t="n">
        <f aca="false">Tasks[[#This Row],[_LeafWork]]*Tasks[[#This Row],[_LeafProgress]]</f>
        <v>0</v>
      </c>
      <c r="ES146" s="101" t="str">
        <f aca="false">IF(AND(Tasks[[#This Row],[_IsLeaf]]=1,Tasks[[#This Row],[_LeafProgress]]&gt;=1),IF(N(Tasks[[#This Row],[Actual Finish]])&gt;0,Tasks[[#This Row],[Actual Finish]],Tasks[[#This Row],[_ShownFcstFinish]]),"")</f>
        <v/>
      </c>
      <c r="ET146" s="41" t="n">
        <f aca="false">IF(Tasks[[#This Row],[_IsLeaf]]=1,N(Tasks[[#This Row],[Story Points]]),0)</f>
        <v>0</v>
      </c>
      <c r="EU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29"/>
      <c r="O147" s="29"/>
      <c r="P147" s="29"/>
      <c r="Q147" s="29"/>
      <c r="R147" s="29"/>
      <c r="S147" s="29"/>
      <c r="T147" s="30"/>
      <c r="U147" s="75"/>
      <c r="V147" s="75"/>
      <c r="W147" s="25" t="str">
        <f aca="false">IF(Tasks[[#This Row],[Task Name]]="","",IF(N(Tasks[[#This Row],[Baseline Start]])&gt;0,Tasks[[#This Row],[Baseline Start]],Tasks[[#This Row],[_CalcStart]]))</f>
        <v/>
      </c>
      <c r="X147" s="25" t="str">
        <f aca="false">IF(Tasks[[#This Row],[Task Name]]="","",IF(N(Tasks[[#This Row],[Baseline Finish]])&gt;0,Tasks[[#This Row],[Baseline Finish]],Tasks[[#This Row],[_CalcFinish]]))</f>
        <v/>
      </c>
      <c r="Y147" s="75"/>
      <c r="Z147" s="75"/>
      <c r="AA147" s="25" t="str">
        <f aca="false">IF(Tasks[[#This Row],[Task Name]]="","",IF(Tasks[[#This Row],[_IsSummary]],MIN(INDEX(Tasks[_ShownFcstStart],Tasks[[#This Row],[_Row]]+1):INDEX(Tasks[_ShownFcstStart],Tasks[[#This Row],[_Row]]+Tasks[[#This Row],[_Descendants]])),Tasks[[#This Row],[_ShownFcstStart]]))</f>
        <v/>
      </c>
      <c r="AB147" s="25" t="str">
        <f aca="false">IF(Tasks[[#This Row],[Task Name]]="","",IF(Tasks[[#This Row],[_IsSummary]],MAX(INDEX(Tasks[_ShownFcstFinish],Tasks[[#This Row],[_Row]]+1):INDEX(Tasks[_ShownFcstFinish],Tasks[[#This Row],[_Row]]+Tasks[[#This Row],[_Descendants]])),Tasks[[#This Row],[_ShownFcstFinish]]))</f>
        <v/>
      </c>
      <c r="AC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7" s="25" t="str">
        <f aca="false">IF(Tasks[[#This Row],[Task Name]]="","",IF(Tasks[[#This Row],[_IsSummary]],MIN(INDEX(Tasks[_LeafLateStart],Tasks[[#This Row],[_Row]]+1):INDEX(Tasks[_LeafLateStart],Tasks[[#This Row],[_Row]]+Tasks[[#This Row],[_Descendants]])),Tasks[[#This Row],[_LeafLateStart]]))</f>
        <v/>
      </c>
      <c r="AF147" s="25" t="str">
        <f aca="false">IF(Tasks[[#This Row],[Task Name]]="","",IF(Tasks[[#This Row],[_IsSummary]],MAX(INDEX(Tasks[_LeafLateFinish],Tasks[[#This Row],[_Row]]+1):INDEX(Tasks[_LeafLateFinish],Tasks[[#This Row],[_Row]]+Tasks[[#This Row],[_Descendants]])),Tasks[[#This Row],[_LeafLateFinish]]))</f>
        <v/>
      </c>
      <c r="AG147" s="28" t="str">
        <f aca="false">IF(Tasks[[#This Row],[Task Name]]="","",IF(Tasks[[#This Row],[_IsSummary]],MIN(INDEX(Tasks[_LeafTotalSlack],Tasks[[#This Row],[_Row]]+1):INDEX(Tasks[_LeafTotalSlack],Tasks[[#This Row],[_Row]]+Tasks[[#This Row],[_Descendants]])),Tasks[[#This Row],[_LeafTotalSlack]]))</f>
        <v/>
      </c>
      <c r="AH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7" s="28" t="str">
        <f aca="false">IF(Tasks[[#This Row],[Task Name]]="","",IF(IF(Tasks[[#This Row],[_IsSummary]],COUNTIF(INDEX(Tasks[_LeafCritical],Tasks[[#This Row],[_Row]]+1):INDEX(Tasks[_LeafCritical],Tasks[[#This Row],[_Row]]+Tasks[[#This Row],[_Descendants]]),TRUE())&gt;0,Tasks[[#This Row],[_LeafCritical]]),"Yes",""))</f>
        <v/>
      </c>
      <c r="AJ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7" s="89"/>
      <c r="AM1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7" s="28" t="str">
        <f aca="false">IF(Tasks[[#This Row],[Task Name]]="","",IF(Tasks[[#This Row],[Progress]]&gt;=1,"Complete",IF(OR(N(Tasks[[#This Row],[Actual Start]])&gt;0,Tasks[[#This Row],[Progress]]&gt;0),IF(Tasks[[#This Row],[Finish Var]]&gt;0,"Behind","In Progress"),IF(Tasks[[#This Row],[Planned Start]]&lt;StatusDate,"Late Start","Not Started"))))</f>
        <v/>
      </c>
      <c r="AO147" s="30"/>
      <c r="AP147" s="89"/>
      <c r="AQ1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7" s="96" t="str">
        <f aca="false">IF(Tasks[[#This Row],[Task Name]]="","",IF(Tasks[[#This Row],[_IsSummary]],SUM(INDEX(Tasks[_LeafTotalWork],Tasks[[#This Row],[_Row]]+1):INDEX(Tasks[_LeafTotalWork],Tasks[[#This Row],[_Row]]+Tasks[[#This Row],[_Descendants]])),Tasks[[#This Row],[_LeafTotalWork]]))</f>
        <v/>
      </c>
      <c r="AT147" s="97" t="str">
        <f aca="false">IF(Tasks[[#This Row],[Task Name]]="","",IF(Tasks[[#This Row],[_IsSummary]],SUM(INDEX(Tasks[_LeafTotalCost],Tasks[[#This Row],[_Row]]+1):INDEX(Tasks[_LeafTotalCost],Tasks[[#This Row],[_Row]]+Tasks[[#This Row],[_Descendants]])),Tasks[[#This Row],[_LeafTotalCost]]))</f>
        <v/>
      </c>
      <c r="AU147" s="98"/>
      <c r="AV147" s="29"/>
      <c r="AW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7" s="83"/>
      <c r="AY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7" s="30"/>
      <c r="BA147" s="25" t="str">
        <f aca="false">IF(Tasks[[#This Row],[Task Name]]="","",Tasks[[#This Row],[Forecast Start]])</f>
        <v/>
      </c>
      <c r="BB147" s="25" t="str">
        <f aca="false">IF(Tasks[[#This Row],[Task Name]]="","",Tasks[[#This Row],[Forecast Finish]])</f>
        <v/>
      </c>
      <c r="BC147" s="28" t="str">
        <f aca="false">IF(Tasks[[#This Row],[Task Name]]="","",IF(Tasks[[#This Row],[_IsSummary]],NETWORKDAYS.INTL(Tasks[[#This Row],[Forecast Start]],Tasks[[#This Row],[Forecast Finish]],WorkWeek,Holidays),N(Tasks[[#This Row],[Duration]])))</f>
        <v/>
      </c>
      <c r="BD147" s="96" t="str">
        <f aca="false">IF(Tasks[[#This Row],[Task Name]]="","",Tasks[[#This Row],[Work]])</f>
        <v/>
      </c>
      <c r="BE147" s="97" t="str">
        <f aca="false">IF(Tasks[[#This Row],[Task Name]]="","",Tasks[[#This Row],[Cost]])</f>
        <v/>
      </c>
      <c r="BF147" s="75"/>
      <c r="BG147" s="75"/>
      <c r="BH147" s="29"/>
      <c r="BI147" s="99"/>
      <c r="BJ147" s="98"/>
      <c r="BK147" s="28" t="str">
        <f aca="false">IF(OR(Tasks[[#This Row],[Task Name]]="",Tasks[[#This Row],[Baseline Duration]]=""),"",Tasks[[#This Row],[BL Source Duration]]-N(Tasks[[#This Row],[Baseline Duration]]))</f>
        <v/>
      </c>
      <c r="BL147" s="96" t="str">
        <f aca="false">IF(OR(Tasks[[#This Row],[Task Name]]="",Tasks[[#This Row],[Baseline Work]]=""),"",Tasks[[#This Row],[Work]]-N(Tasks[[#This Row],[Baseline Work]]))</f>
        <v/>
      </c>
      <c r="BM147" s="97" t="str">
        <f aca="false">IF(OR(Tasks[[#This Row],[Task Name]]="",Tasks[[#This Row],[Baseline Cost]]=""),"",Tasks[[#This Row],[Cost]]-N(Tasks[[#This Row],[Baseline Cost]]))</f>
        <v/>
      </c>
      <c r="BN147" s="97" t="str">
        <f aca="false">IF(Tasks[[#This Row],[Task Name]]="","",IF(Tasks[[#This Row],[_IsSummary]],SUM(INDEX(Tasks[_LeafBudget],Tasks[[#This Row],[_Row]]+1):INDEX(Tasks[_LeafBudget],Tasks[[#This Row],[_Row]]+Tasks[[#This Row],[_Descendants]])),Tasks[[#This Row],[_LeafBudget]]))</f>
        <v/>
      </c>
      <c r="BO147" s="97" t="str">
        <f aca="false">IF(Tasks[[#This Row],[Task Name]]="","",IF(Tasks[[#This Row],[_IsSummary]],SUM(INDEX(Tasks[_LeafPV],Tasks[[#This Row],[_Row]]+1):INDEX(Tasks[_LeafPV],Tasks[[#This Row],[_Row]]+Tasks[[#This Row],[_Descendants]])),Tasks[[#This Row],[_LeafPV]]))</f>
        <v/>
      </c>
      <c r="BP147" s="97" t="str">
        <f aca="false">IF(Tasks[[#This Row],[Task Name]]="","",IF(Tasks[[#This Row],[_IsSummary]],SUM(INDEX(Tasks[_LeafEV],Tasks[[#This Row],[_Row]]+1):INDEX(Tasks[_LeafEV],Tasks[[#This Row],[_Row]]+Tasks[[#This Row],[_Descendants]])),Tasks[[#This Row],[_LeafEV]]))</f>
        <v/>
      </c>
      <c r="BQ147" s="97" t="str">
        <f aca="false">IF(Tasks[[#This Row],[Task Name]]="","",IF(Tasks[[#This Row],[_IsSummary]],SUM(INDEX(Tasks[_LeafAC],Tasks[[#This Row],[_Row]]+1):INDEX(Tasks[_LeafAC],Tasks[[#This Row],[_Row]]+Tasks[[#This Row],[_Descendants]])),Tasks[[#This Row],[_LeafAC]]))</f>
        <v/>
      </c>
      <c r="BR147" s="41" t="str">
        <f aca="false">IF(Tasks[[#This Row],[Task Name]]="","",MAX(1,N(Tasks[[#This Row],[Level]])))</f>
        <v/>
      </c>
      <c r="BS147" s="41" t="n">
        <f aca="false">ROW()-ROW(Tasks[[#Headers],[ID]])</f>
        <v>142</v>
      </c>
      <c r="BT147" s="41" t="n">
        <f aca="false">IF(OR(Tasks[[#This Row],[Task Name]]="",Tasks[[#This Row],[_Level]]&lt;=1),0,IFERROR(LOOKUP(2,1/(Tasks[[#Headers],[_Level]]:Tasks[[#This Row],[_Level]]=Tasks[[#This Row],[_Level]]-1),ROW(Tasks[[#Headers],[_Level]]:Tasks[[#This Row],[_Level]])),0))</f>
        <v>0</v>
      </c>
      <c r="BU147" s="41" t="n">
        <f aca="false">IFERROR(N(INDEX(Tasks[_Level],Tasks[[#This Row],[_Row]]+1)),0)</f>
        <v>0</v>
      </c>
      <c r="BV147" s="100" t="b">
        <f aca="false">AND(Tasks[[#This Row],[Task Name]]&lt;&gt;"",Tasks[[#This Row],[_NextLevel]]&gt;Tasks[[#This Row],[_Level]])</f>
        <v>0</v>
      </c>
      <c r="BW147" s="41" t="n">
        <f aca="false">IF(Tasks[[#This Row],[_IsSummary]],COUNTIF(Tasks[WBS],Tasks[[#This Row],[WBS]]&amp;".*"),0)</f>
        <v>0</v>
      </c>
      <c r="BX147" s="41" t="n">
        <f aca="false">IF(AND(Tasks[[#This Row],[Task Name]]&lt;&gt;"",NOT(Tasks[[#This Row],[_IsSummary]])),1,0)</f>
        <v>0</v>
      </c>
      <c r="BY147" s="41" t="n">
        <f aca="false">IF(N(Tasks[[#This Row],[Pred1 UID]])=0,0,IFERROR(MATCH(Tasks[[#This Row],[Pred1 UID]],Tasks[UID],0),-1))</f>
        <v>0</v>
      </c>
      <c r="BZ147" s="41" t="n">
        <f aca="false">IF(N(Tasks[[#This Row],[Pred2 UID]])=0,0,IFERROR(MATCH(Tasks[[#This Row],[Pred2 UID]],Tasks[UID],0),-1))</f>
        <v>0</v>
      </c>
      <c r="CA147" s="41" t="n">
        <f aca="false">IF(N(Tasks[[#This Row],[Pred3 UID]])=0,0,IFERROR(MATCH(Tasks[[#This Row],[Pred3 UID]],Tasks[UID],0),-1))</f>
        <v>0</v>
      </c>
      <c r="CB147" s="41" t="n">
        <f aca="false">IF(N(Tasks[[#This Row],[Pred4 UID]])=0,0,IFERROR(MATCH(Tasks[[#This Row],[Pred4 UID]],Tasks[UID],0),-1))</f>
        <v>0</v>
      </c>
      <c r="CC1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7" s="101" t="n">
        <f aca="false">IF(OR(Tasks[[#This Row],[_ConstraintCode]]=2,Tasks[[#This Row],[_ConstraintCode]]=3,Tasks[[#This Row],[_ConstraintCode]]=4,Tasks[[#This Row],[_ConstraintCode]]=6),Tasks[[#This Row],[_ConstraintStart]],0)</f>
        <v>0</v>
      </c>
      <c r="CF147" s="101" t="n">
        <f aca="false">IF(OR(Tasks[[#This Row],[_ConstraintCode]]=2,Tasks[[#This Row],[_ConstraintCode]]=3,Tasks[[#This Row],[_ConstraintCode]]=5,Tasks[[#This Row],[_ConstraintCode]]=7),Tasks[[#This Row],[_ConstraintStart]],2958465)</f>
        <v>2958465</v>
      </c>
      <c r="CG14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7" s="101" t="str">
        <f aca="false">IF(NOT(Tasks[[#This Row],[_IsLeaf]]=1),"",IF(N(Tasks[[#This Row],[Duration]])&lt;=0,Tasks[[#This Row],[_LeafCalcStart]],WORKDAY.INTL(Tasks[[#This Row],[_LeafCalcStart]],Tasks[[#This Row],[Duration]]-1,WorkWeek,Holidays)))</f>
        <v/>
      </c>
      <c r="CI14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7" s="41" t="n">
        <f aca="false">IF(NOT(Tasks[[#This Row],[_IsLeaf]]=1),0,IF(N(Tasks[[#This Row],[Actual Finish]])&gt;0,1,MIN(1,N(Tasks[[#This Row],[% Complete]]))))</f>
        <v>0</v>
      </c>
      <c r="CL147" s="41" t="n">
        <f aca="false">IF(OR(NOT(Tasks[[#This Row],[_IsLeaf]]=1),Tasks[[#This Row],[Resource]]=""),0,N(Tasks[[#This Row],[Duration]])*HoursPerDay*IF(Tasks[[#This Row],[Units]]="",DefaultUnits,Tasks[[#This Row],[Units]]))</f>
        <v>0</v>
      </c>
      <c r="CM147" s="41" t="n">
        <f aca="false">IF(Tasks[[#This Row],[_LeafWork]]=0,0,Tasks[[#This Row],[_LeafWork]]*IFERROR(INDEX(res_Rate,MATCH(Tasks[[#This Row],[Resource]],res_Name,0)),0))</f>
        <v>0</v>
      </c>
      <c r="CN147" s="41" t="n">
        <f aca="false">Tasks[[#This Row],[_LeafWork]]+IF(Tasks[[#This Row],[_IsLeaf]]=1,SUMIFS(asg_Work,asg_TaskUID,Tasks[[#This Row],[UID]],asg_Valid,1),0)</f>
        <v>0</v>
      </c>
      <c r="CO147" s="41" t="n">
        <f aca="false">Tasks[[#This Row],[_LeafCost]]+IF(Tasks[[#This Row],[_IsLeaf]]=1,SUMIFS(asg_Cost,asg_TaskUID,Tasks[[#This Row],[UID]],asg_Valid,1),0)</f>
        <v>0</v>
      </c>
      <c r="CP147" s="41" t="n">
        <f aca="false">IF(Tasks[[#This Row],[_LeafTotalCost]]=0,Tasks[[#This Row],[_LeafAC]],Tasks[[#This Row],[_LeafAC]]*Tasks[[#This Row],[_LeafCost]]/Tasks[[#This Row],[_LeafTotalCost]])</f>
        <v>0</v>
      </c>
      <c r="CQ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7" s="41" t="n">
        <f aca="false">IF(NOT(Tasks[[#This Row],[_IsLeaf]]=1),0,MAX(_xlfn.MAXIFS(Tasks[_Row],Tasks[Pred1 UID],Tasks[[#This Row],[UID]]),_xlfn.MAXIFS(Tasks[_Row],Tasks[Pred2 UID],Tasks[[#This Row],[UID]]),_xlfn.MAXIFS(Tasks[_Row],Tasks[Pred3 UID],Tasks[[#This Row],[UID]]),_xlfn.MAXIFS(Tasks[_Row],Tasks[Pred4 UID],Tasks[[#This Row],[UID]])))</f>
        <v>0</v>
      </c>
      <c r="CZ1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7" s="101" t="str">
        <f aca="false">IF(NOT(Tasks[[#This Row],[_IsLeaf]]=1),"",IF(N(Tasks[[#This Row],[Duration]])&lt;=0,Tasks[[#This Row],[_LeafLateFinish]],WORKDAY.INTL(Tasks[[#This Row],[_LeafLateFinish]],-(Tasks[[#This Row],[Duration]]-1),WorkWeek,Holidays)))</f>
        <v/>
      </c>
      <c r="DC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7" s="100" t="b">
        <f aca="false">AND(Tasks[[#This Row],[_IsLeaf]]=1,Tasks[[#This Row],[_LeafProgress]]&lt;1,N(Tasks[[#This Row],[_LeafTotalSlack]])&lt;=CriticalSlackDays)</f>
        <v>0</v>
      </c>
      <c r="DE147" s="41" t="n">
        <f aca="false">IF(AND(Tasks[[#This Row],[_IsLeaf]]=1,Tasks[[#This Row],[_ConstraintCode]]=1,Tasks[[#This Row],[Mode]]&lt;&gt;"Manual",N(Tasks[[#This Row],[Actual Start]])=0),MAX(0,N(Tasks[[#This Row],[Free Slack]])),0)</f>
        <v>0</v>
      </c>
      <c r="DF147" s="101" t="str">
        <f aca="false">IF(NOT(Tasks[[#This Row],[_IsLeaf]]=1),"",IF(Tasks[[#This Row],[_AlapShift]]=0,Tasks[[#This Row],[_LeafCalcStart]],WORKDAY.INTL(Tasks[[#This Row],[_LeafCalcStart]],Tasks[[#This Row],[_AlapShift]],WorkWeek,Holidays)))</f>
        <v/>
      </c>
      <c r="DG147" s="101" t="str">
        <f aca="false">IF(NOT(Tasks[[#This Row],[_IsLeaf]]=1),"",IF(Tasks[[#This Row],[_AlapShift]]=0,Tasks[[#This Row],[_LeafCalcFinish]],WORKDAY.INTL(Tasks[[#This Row],[_LeafCalcFinish]],Tasks[[#This Row],[_AlapShift]],WorkWeek,Holidays)))</f>
        <v/>
      </c>
      <c r="DH147" s="101" t="str">
        <f aca="false">IF(NOT(Tasks[[#This Row],[_IsLeaf]]=1),"",IF(Tasks[[#This Row],[_AlapShift]]=0,Tasks[[#This Row],[_LeafFcstStart]],WORKDAY.INTL(Tasks[[#This Row],[_LeafFcstStart]],Tasks[[#This Row],[_AlapShift]],WorkWeek,Holidays)))</f>
        <v/>
      </c>
      <c r="DI147" s="101" t="str">
        <f aca="false">IF(NOT(Tasks[[#This Row],[_IsLeaf]]=1),"",IF(Tasks[[#This Row],[_AlapShift]]=0,Tasks[[#This Row],[_LeafFcstFinish]],WORKDAY.INTL(Tasks[[#This Row],[_LeafFcstFinish]],Tasks[[#This Row],[_AlapShift]],WorkWeek,Holidays)))</f>
        <v/>
      </c>
      <c r="DJ147" s="101" t="str">
        <f aca="false">IF(Tasks[[#This Row],[Task Name]]="","",IF(Tasks[[#This Row],[_IsSummary]],MIN(INDEX(Tasks[_ShownCalcStart],Tasks[[#This Row],[_Row]]+1):INDEX(Tasks[_ShownCalcStart],Tasks[[#This Row],[_Row]]+Tasks[[#This Row],[_Descendants]])),Tasks[[#This Row],[_ShownCalcStart]]))</f>
        <v/>
      </c>
      <c r="DK147" s="101" t="str">
        <f aca="false">IF(Tasks[[#This Row],[Task Name]]="","",IF(Tasks[[#This Row],[_IsSummary]],MAX(INDEX(Tasks[_ShownCalcFinish],Tasks[[#This Row],[_Row]]+1):INDEX(Tasks[_ShownCalcFinish],Tasks[[#This Row],[_Row]]+Tasks[[#This Row],[_Descendants]])),Tasks[[#This Row],[_ShownCalcFinish]]))</f>
        <v/>
      </c>
      <c r="D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7" s="41" t="n">
        <f aca="false">IF(AND(Tasks[[#This Row],[_IsLeaf]]=1,Tasks[[#This Row],[_LeafTotalWork]]&gt;0),NETWORKDAYS.INTL(ProjectStart,Tasks[[#This Row],[_ShownFcstStart]],WorkWeek,Holidays),0)</f>
        <v>0</v>
      </c>
      <c r="DY147" s="41" t="n">
        <f aca="false">IF(AND(Tasks[[#This Row],[_IsLeaf]]=1,Tasks[[#This Row],[_LeafTotalWork]]&gt;0),MAX(Tasks[[#This Row],[_StartWorkday]],NETWORKDAYS.INTL(ProjectStart,Tasks[[#This Row],[_ShownFcstFinish]],WorkWeek,Holidays)),0)</f>
        <v>0</v>
      </c>
      <c r="DZ147" s="41" t="n">
        <f aca="false">IF(AND(Tasks[[#This Row],[_IsLeaf]]=1,Tasks[[#This Row],[_LeafTotalWork]]&gt;0),Tasks[[#This Row],[_LeafWork]]/(Tasks[[#This Row],[_FinishWorkday]]-Tasks[[#This Row],[_StartWorkday]]+1),0)</f>
        <v>0</v>
      </c>
      <c r="EA147" s="41" t="n">
        <f aca="false">Tasks[[#This Row],[_WorkPerWorkday]]*(Tasks[[#This Row],[_StartWorkday]]-1)</f>
        <v>-0</v>
      </c>
      <c r="EB147" s="41" t="n">
        <f aca="false">IF(Tasks[[#This Row],[_IsLeaf]]=1,MAX(N(Tasks[[#This Row],[Duration]]),0.1),0)</f>
        <v>0</v>
      </c>
      <c r="EC147" s="41" t="n">
        <f aca="false">Tasks[[#This Row],[_WeightDur]]*Tasks[[#This Row],[_LeafProgress]]</f>
        <v>0</v>
      </c>
      <c r="ED1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7" s="41" t="str">
        <f aca="false">IF(AND(Tasks[[#This Row],[_IsLeaf]]=1,N(Tasks[[#This Row],[Duration]])=0,Tasks[[#This Row],[_LeafProgress]]&lt;1),Tasks[[#This Row],[_ShownFcstFinish]]+Tasks[[#This Row],[_Row]]/100000,"")</f>
        <v/>
      </c>
      <c r="EF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7" s="41" t="n">
        <f aca="false">IF(NOT(Tasks[[#This Row],[_IsLeaf]]=1),0,IF(Tasks[[#This Row],[Baseline Cost]]="",Tasks[[#This Row],[_LeafTotalCost]],N(Tasks[[#This Row],[Baseline Cost]])))</f>
        <v>0</v>
      </c>
      <c r="EH147" s="41" t="n">
        <f aca="false">Tasks[[#This Row],[_LeafBudget]]*Tasks[[#This Row],[_PlannedPct]]</f>
        <v>0</v>
      </c>
      <c r="EI147" s="41" t="n">
        <f aca="false">Tasks[[#This Row],[_LeafBudget]]*Tasks[[#This Row],[_LeafProgress]]</f>
        <v>0</v>
      </c>
      <c r="EJ147" s="41" t="n">
        <f aca="false">IF(NOT(Tasks[[#This Row],[_IsLeaf]]=1),0,IF(Tasks[[#This Row],[Actual Cost]]="",Tasks[[#This Row],[_LeafTotalCost]]*Tasks[[#This Row],[_LeafProgress]],N(Tasks[[#This Row],[Actual Cost]])))</f>
        <v>0</v>
      </c>
      <c r="EK147" s="41" t="str">
        <f aca="false">IF(Tasks[[#This Row],[Task Name]]="","",LEFT(Tasks[[#This Row],[WBS]],FIND(".",Tasks[[#This Row],[WBS]]&amp;".")-1))</f>
        <v/>
      </c>
      <c r="EL147" s="41" t="str">
        <f aca="false">IF(AND(Tasks[[#This Row],[Task Name]]&lt;&gt;"",Tasks[[#This Row],[_Level]]=1),Tasks[[#This Row],[_Row]],"")</f>
        <v/>
      </c>
      <c r="EM147" s="41" t="str">
        <f aca="false">IF(AND(Tasks[[#This Row],[_IsLeaf]]=1,N(Tasks[[#This Row],[Duration]])=0),Tasks[[#This Row],[Planned Finish]]+Tasks[[#This Row],[_Row]]/100000,"")</f>
        <v/>
      </c>
      <c r="EN147" s="41" t="str">
        <f aca="false">IF(AND(Tasks[[#This Row],[_IsLeaf]]=1,Tasks[[#This Row],[_LeafProgress]]&lt;1,OR(N(Tasks[[#This Row],[Finish Var]])&gt;0,Tasks[[#This Row],[Status]]="Late Start")),MAX(0,Tasks[[#This Row],[Finish Var]])+1-Tasks[[#This Row],[_Row]]/1000000,"")</f>
        <v/>
      </c>
      <c r="EO147" s="41" t="str">
        <f aca="false">IF(AND(Tasks[[#This Row],[_IsLeaf]]=1,N(Tasks[[#This Row],[Actual Start]])=0,Tasks[[#This Row],[_ShownFcstStart]]&gt;=StatusDate,Tasks[[#This Row],[_ShownFcstStart]]&lt;=LookaheadEnd),Tasks[[#This Row],[_ShownFcstStart]]+Tasks[[#This Row],[_Row]]/100000,"")</f>
        <v/>
      </c>
      <c r="EP147" s="41" t="str">
        <f aca="false">IF(AND(Tasks[[#This Row],[_IsLeaf]]=1,Tasks[[#This Row],[_LeafProgress]]&lt;1,Tasks[[#This Row],[_ShownFcstFinish]]&gt;=StatusDate,Tasks[[#This Row],[_ShownFcstFinish]]&lt;=LookaheadEnd),Tasks[[#This Row],[_ShownFcstFinish]]+Tasks[[#This Row],[_Row]]/100000,"")</f>
        <v/>
      </c>
      <c r="EQ147" s="41" t="str">
        <f aca="false">IF(Tasks[[#This Row],[_LeafCritical]],Tasks[[#This Row],[_ShownFcstStart]]+Tasks[[#This Row],[_Row]]/100000,"")</f>
        <v/>
      </c>
      <c r="ER147" s="41" t="n">
        <f aca="false">Tasks[[#This Row],[_LeafWork]]*Tasks[[#This Row],[_LeafProgress]]</f>
        <v>0</v>
      </c>
      <c r="ES147" s="101" t="str">
        <f aca="false">IF(AND(Tasks[[#This Row],[_IsLeaf]]=1,Tasks[[#This Row],[_LeafProgress]]&gt;=1),IF(N(Tasks[[#This Row],[Actual Finish]])&gt;0,Tasks[[#This Row],[Actual Finish]],Tasks[[#This Row],[_ShownFcstFinish]]),"")</f>
        <v/>
      </c>
      <c r="ET147" s="41" t="n">
        <f aca="false">IF(Tasks[[#This Row],[_IsLeaf]]=1,N(Tasks[[#This Row],[Story Points]]),0)</f>
        <v>0</v>
      </c>
      <c r="EU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29"/>
      <c r="O148" s="29"/>
      <c r="P148" s="29"/>
      <c r="Q148" s="29"/>
      <c r="R148" s="29"/>
      <c r="S148" s="29"/>
      <c r="T148" s="30"/>
      <c r="U148" s="75"/>
      <c r="V148" s="75"/>
      <c r="W148" s="25" t="str">
        <f aca="false">IF(Tasks[[#This Row],[Task Name]]="","",IF(N(Tasks[[#This Row],[Baseline Start]])&gt;0,Tasks[[#This Row],[Baseline Start]],Tasks[[#This Row],[_CalcStart]]))</f>
        <v/>
      </c>
      <c r="X148" s="25" t="str">
        <f aca="false">IF(Tasks[[#This Row],[Task Name]]="","",IF(N(Tasks[[#This Row],[Baseline Finish]])&gt;0,Tasks[[#This Row],[Baseline Finish]],Tasks[[#This Row],[_CalcFinish]]))</f>
        <v/>
      </c>
      <c r="Y148" s="75"/>
      <c r="Z148" s="75"/>
      <c r="AA148" s="25" t="str">
        <f aca="false">IF(Tasks[[#This Row],[Task Name]]="","",IF(Tasks[[#This Row],[_IsSummary]],MIN(INDEX(Tasks[_ShownFcstStart],Tasks[[#This Row],[_Row]]+1):INDEX(Tasks[_ShownFcstStart],Tasks[[#This Row],[_Row]]+Tasks[[#This Row],[_Descendants]])),Tasks[[#This Row],[_ShownFcstStart]]))</f>
        <v/>
      </c>
      <c r="AB148" s="25" t="str">
        <f aca="false">IF(Tasks[[#This Row],[Task Name]]="","",IF(Tasks[[#This Row],[_IsSummary]],MAX(INDEX(Tasks[_ShownFcstFinish],Tasks[[#This Row],[_Row]]+1):INDEX(Tasks[_ShownFcstFinish],Tasks[[#This Row],[_Row]]+Tasks[[#This Row],[_Descendants]])),Tasks[[#This Row],[_ShownFcstFinish]]))</f>
        <v/>
      </c>
      <c r="AC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8" s="25" t="str">
        <f aca="false">IF(Tasks[[#This Row],[Task Name]]="","",IF(Tasks[[#This Row],[_IsSummary]],MIN(INDEX(Tasks[_LeafLateStart],Tasks[[#This Row],[_Row]]+1):INDEX(Tasks[_LeafLateStart],Tasks[[#This Row],[_Row]]+Tasks[[#This Row],[_Descendants]])),Tasks[[#This Row],[_LeafLateStart]]))</f>
        <v/>
      </c>
      <c r="AF148" s="25" t="str">
        <f aca="false">IF(Tasks[[#This Row],[Task Name]]="","",IF(Tasks[[#This Row],[_IsSummary]],MAX(INDEX(Tasks[_LeafLateFinish],Tasks[[#This Row],[_Row]]+1):INDEX(Tasks[_LeafLateFinish],Tasks[[#This Row],[_Row]]+Tasks[[#This Row],[_Descendants]])),Tasks[[#This Row],[_LeafLateFinish]]))</f>
        <v/>
      </c>
      <c r="AG148" s="28" t="str">
        <f aca="false">IF(Tasks[[#This Row],[Task Name]]="","",IF(Tasks[[#This Row],[_IsSummary]],MIN(INDEX(Tasks[_LeafTotalSlack],Tasks[[#This Row],[_Row]]+1):INDEX(Tasks[_LeafTotalSlack],Tasks[[#This Row],[_Row]]+Tasks[[#This Row],[_Descendants]])),Tasks[[#This Row],[_LeafTotalSlack]]))</f>
        <v/>
      </c>
      <c r="AH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8" s="28" t="str">
        <f aca="false">IF(Tasks[[#This Row],[Task Name]]="","",IF(IF(Tasks[[#This Row],[_IsSummary]],COUNTIF(INDEX(Tasks[_LeafCritical],Tasks[[#This Row],[_Row]]+1):INDEX(Tasks[_LeafCritical],Tasks[[#This Row],[_Row]]+Tasks[[#This Row],[_Descendants]]),TRUE())&gt;0,Tasks[[#This Row],[_LeafCritical]]),"Yes",""))</f>
        <v/>
      </c>
      <c r="AJ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8" s="89"/>
      <c r="AM1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8" s="28" t="str">
        <f aca="false">IF(Tasks[[#This Row],[Task Name]]="","",IF(Tasks[[#This Row],[Progress]]&gt;=1,"Complete",IF(OR(N(Tasks[[#This Row],[Actual Start]])&gt;0,Tasks[[#This Row],[Progress]]&gt;0),IF(Tasks[[#This Row],[Finish Var]]&gt;0,"Behind","In Progress"),IF(Tasks[[#This Row],[Planned Start]]&lt;StatusDate,"Late Start","Not Started"))))</f>
        <v/>
      </c>
      <c r="AO148" s="30"/>
      <c r="AP148" s="89"/>
      <c r="AQ1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8" s="96" t="str">
        <f aca="false">IF(Tasks[[#This Row],[Task Name]]="","",IF(Tasks[[#This Row],[_IsSummary]],SUM(INDEX(Tasks[_LeafTotalWork],Tasks[[#This Row],[_Row]]+1):INDEX(Tasks[_LeafTotalWork],Tasks[[#This Row],[_Row]]+Tasks[[#This Row],[_Descendants]])),Tasks[[#This Row],[_LeafTotalWork]]))</f>
        <v/>
      </c>
      <c r="AT148" s="97" t="str">
        <f aca="false">IF(Tasks[[#This Row],[Task Name]]="","",IF(Tasks[[#This Row],[_IsSummary]],SUM(INDEX(Tasks[_LeafTotalCost],Tasks[[#This Row],[_Row]]+1):INDEX(Tasks[_LeafTotalCost],Tasks[[#This Row],[_Row]]+Tasks[[#This Row],[_Descendants]])),Tasks[[#This Row],[_LeafTotalCost]]))</f>
        <v/>
      </c>
      <c r="AU148" s="98"/>
      <c r="AV148" s="29"/>
      <c r="AW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8" s="83"/>
      <c r="AY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8" s="30"/>
      <c r="BA148" s="25" t="str">
        <f aca="false">IF(Tasks[[#This Row],[Task Name]]="","",Tasks[[#This Row],[Forecast Start]])</f>
        <v/>
      </c>
      <c r="BB148" s="25" t="str">
        <f aca="false">IF(Tasks[[#This Row],[Task Name]]="","",Tasks[[#This Row],[Forecast Finish]])</f>
        <v/>
      </c>
      <c r="BC148" s="28" t="str">
        <f aca="false">IF(Tasks[[#This Row],[Task Name]]="","",IF(Tasks[[#This Row],[_IsSummary]],NETWORKDAYS.INTL(Tasks[[#This Row],[Forecast Start]],Tasks[[#This Row],[Forecast Finish]],WorkWeek,Holidays),N(Tasks[[#This Row],[Duration]])))</f>
        <v/>
      </c>
      <c r="BD148" s="96" t="str">
        <f aca="false">IF(Tasks[[#This Row],[Task Name]]="","",Tasks[[#This Row],[Work]])</f>
        <v/>
      </c>
      <c r="BE148" s="97" t="str">
        <f aca="false">IF(Tasks[[#This Row],[Task Name]]="","",Tasks[[#This Row],[Cost]])</f>
        <v/>
      </c>
      <c r="BF148" s="75"/>
      <c r="BG148" s="75"/>
      <c r="BH148" s="29"/>
      <c r="BI148" s="99"/>
      <c r="BJ148" s="98"/>
      <c r="BK148" s="28" t="str">
        <f aca="false">IF(OR(Tasks[[#This Row],[Task Name]]="",Tasks[[#This Row],[Baseline Duration]]=""),"",Tasks[[#This Row],[BL Source Duration]]-N(Tasks[[#This Row],[Baseline Duration]]))</f>
        <v/>
      </c>
      <c r="BL148" s="96" t="str">
        <f aca="false">IF(OR(Tasks[[#This Row],[Task Name]]="",Tasks[[#This Row],[Baseline Work]]=""),"",Tasks[[#This Row],[Work]]-N(Tasks[[#This Row],[Baseline Work]]))</f>
        <v/>
      </c>
      <c r="BM148" s="97" t="str">
        <f aca="false">IF(OR(Tasks[[#This Row],[Task Name]]="",Tasks[[#This Row],[Baseline Cost]]=""),"",Tasks[[#This Row],[Cost]]-N(Tasks[[#This Row],[Baseline Cost]]))</f>
        <v/>
      </c>
      <c r="BN148" s="97" t="str">
        <f aca="false">IF(Tasks[[#This Row],[Task Name]]="","",IF(Tasks[[#This Row],[_IsSummary]],SUM(INDEX(Tasks[_LeafBudget],Tasks[[#This Row],[_Row]]+1):INDEX(Tasks[_LeafBudget],Tasks[[#This Row],[_Row]]+Tasks[[#This Row],[_Descendants]])),Tasks[[#This Row],[_LeafBudget]]))</f>
        <v/>
      </c>
      <c r="BO148" s="97" t="str">
        <f aca="false">IF(Tasks[[#This Row],[Task Name]]="","",IF(Tasks[[#This Row],[_IsSummary]],SUM(INDEX(Tasks[_LeafPV],Tasks[[#This Row],[_Row]]+1):INDEX(Tasks[_LeafPV],Tasks[[#This Row],[_Row]]+Tasks[[#This Row],[_Descendants]])),Tasks[[#This Row],[_LeafPV]]))</f>
        <v/>
      </c>
      <c r="BP148" s="97" t="str">
        <f aca="false">IF(Tasks[[#This Row],[Task Name]]="","",IF(Tasks[[#This Row],[_IsSummary]],SUM(INDEX(Tasks[_LeafEV],Tasks[[#This Row],[_Row]]+1):INDEX(Tasks[_LeafEV],Tasks[[#This Row],[_Row]]+Tasks[[#This Row],[_Descendants]])),Tasks[[#This Row],[_LeafEV]]))</f>
        <v/>
      </c>
      <c r="BQ148" s="97" t="str">
        <f aca="false">IF(Tasks[[#This Row],[Task Name]]="","",IF(Tasks[[#This Row],[_IsSummary]],SUM(INDEX(Tasks[_LeafAC],Tasks[[#This Row],[_Row]]+1):INDEX(Tasks[_LeafAC],Tasks[[#This Row],[_Row]]+Tasks[[#This Row],[_Descendants]])),Tasks[[#This Row],[_LeafAC]]))</f>
        <v/>
      </c>
      <c r="BR148" s="41" t="str">
        <f aca="false">IF(Tasks[[#This Row],[Task Name]]="","",MAX(1,N(Tasks[[#This Row],[Level]])))</f>
        <v/>
      </c>
      <c r="BS148" s="41" t="n">
        <f aca="false">ROW()-ROW(Tasks[[#Headers],[ID]])</f>
        <v>143</v>
      </c>
      <c r="BT148" s="41" t="n">
        <f aca="false">IF(OR(Tasks[[#This Row],[Task Name]]="",Tasks[[#This Row],[_Level]]&lt;=1),0,IFERROR(LOOKUP(2,1/(Tasks[[#Headers],[_Level]]:Tasks[[#This Row],[_Level]]=Tasks[[#This Row],[_Level]]-1),ROW(Tasks[[#Headers],[_Level]]:Tasks[[#This Row],[_Level]])),0))</f>
        <v>0</v>
      </c>
      <c r="BU148" s="41" t="n">
        <f aca="false">IFERROR(N(INDEX(Tasks[_Level],Tasks[[#This Row],[_Row]]+1)),0)</f>
        <v>0</v>
      </c>
      <c r="BV148" s="100" t="b">
        <f aca="false">AND(Tasks[[#This Row],[Task Name]]&lt;&gt;"",Tasks[[#This Row],[_NextLevel]]&gt;Tasks[[#This Row],[_Level]])</f>
        <v>0</v>
      </c>
      <c r="BW148" s="41" t="n">
        <f aca="false">IF(Tasks[[#This Row],[_IsSummary]],COUNTIF(Tasks[WBS],Tasks[[#This Row],[WBS]]&amp;".*"),0)</f>
        <v>0</v>
      </c>
      <c r="BX148" s="41" t="n">
        <f aca="false">IF(AND(Tasks[[#This Row],[Task Name]]&lt;&gt;"",NOT(Tasks[[#This Row],[_IsSummary]])),1,0)</f>
        <v>0</v>
      </c>
      <c r="BY148" s="41" t="n">
        <f aca="false">IF(N(Tasks[[#This Row],[Pred1 UID]])=0,0,IFERROR(MATCH(Tasks[[#This Row],[Pred1 UID]],Tasks[UID],0),-1))</f>
        <v>0</v>
      </c>
      <c r="BZ148" s="41" t="n">
        <f aca="false">IF(N(Tasks[[#This Row],[Pred2 UID]])=0,0,IFERROR(MATCH(Tasks[[#This Row],[Pred2 UID]],Tasks[UID],0),-1))</f>
        <v>0</v>
      </c>
      <c r="CA148" s="41" t="n">
        <f aca="false">IF(N(Tasks[[#This Row],[Pred3 UID]])=0,0,IFERROR(MATCH(Tasks[[#This Row],[Pred3 UID]],Tasks[UID],0),-1))</f>
        <v>0</v>
      </c>
      <c r="CB148" s="41" t="n">
        <f aca="false">IF(N(Tasks[[#This Row],[Pred4 UID]])=0,0,IFERROR(MATCH(Tasks[[#This Row],[Pred4 UID]],Tasks[UID],0),-1))</f>
        <v>0</v>
      </c>
      <c r="CC1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8" s="101" t="n">
        <f aca="false">IF(OR(Tasks[[#This Row],[_ConstraintCode]]=2,Tasks[[#This Row],[_ConstraintCode]]=3,Tasks[[#This Row],[_ConstraintCode]]=4,Tasks[[#This Row],[_ConstraintCode]]=6),Tasks[[#This Row],[_ConstraintStart]],0)</f>
        <v>0</v>
      </c>
      <c r="CF148" s="101" t="n">
        <f aca="false">IF(OR(Tasks[[#This Row],[_ConstraintCode]]=2,Tasks[[#This Row],[_ConstraintCode]]=3,Tasks[[#This Row],[_ConstraintCode]]=5,Tasks[[#This Row],[_ConstraintCode]]=7),Tasks[[#This Row],[_ConstraintStart]],2958465)</f>
        <v>2958465</v>
      </c>
      <c r="CG14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8" s="101" t="str">
        <f aca="false">IF(NOT(Tasks[[#This Row],[_IsLeaf]]=1),"",IF(N(Tasks[[#This Row],[Duration]])&lt;=0,Tasks[[#This Row],[_LeafCalcStart]],WORKDAY.INTL(Tasks[[#This Row],[_LeafCalcStart]],Tasks[[#This Row],[Duration]]-1,WorkWeek,Holidays)))</f>
        <v/>
      </c>
      <c r="CI14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8" s="41" t="n">
        <f aca="false">IF(NOT(Tasks[[#This Row],[_IsLeaf]]=1),0,IF(N(Tasks[[#This Row],[Actual Finish]])&gt;0,1,MIN(1,N(Tasks[[#This Row],[% Complete]]))))</f>
        <v>0</v>
      </c>
      <c r="CL148" s="41" t="n">
        <f aca="false">IF(OR(NOT(Tasks[[#This Row],[_IsLeaf]]=1),Tasks[[#This Row],[Resource]]=""),0,N(Tasks[[#This Row],[Duration]])*HoursPerDay*IF(Tasks[[#This Row],[Units]]="",DefaultUnits,Tasks[[#This Row],[Units]]))</f>
        <v>0</v>
      </c>
      <c r="CM148" s="41" t="n">
        <f aca="false">IF(Tasks[[#This Row],[_LeafWork]]=0,0,Tasks[[#This Row],[_LeafWork]]*IFERROR(INDEX(res_Rate,MATCH(Tasks[[#This Row],[Resource]],res_Name,0)),0))</f>
        <v>0</v>
      </c>
      <c r="CN148" s="41" t="n">
        <f aca="false">Tasks[[#This Row],[_LeafWork]]+IF(Tasks[[#This Row],[_IsLeaf]]=1,SUMIFS(asg_Work,asg_TaskUID,Tasks[[#This Row],[UID]],asg_Valid,1),0)</f>
        <v>0</v>
      </c>
      <c r="CO148" s="41" t="n">
        <f aca="false">Tasks[[#This Row],[_LeafCost]]+IF(Tasks[[#This Row],[_IsLeaf]]=1,SUMIFS(asg_Cost,asg_TaskUID,Tasks[[#This Row],[UID]],asg_Valid,1),0)</f>
        <v>0</v>
      </c>
      <c r="CP148" s="41" t="n">
        <f aca="false">IF(Tasks[[#This Row],[_LeafTotalCost]]=0,Tasks[[#This Row],[_LeafAC]],Tasks[[#This Row],[_LeafAC]]*Tasks[[#This Row],[_LeafCost]]/Tasks[[#This Row],[_LeafTotalCost]])</f>
        <v>0</v>
      </c>
      <c r="CQ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8" s="41" t="n">
        <f aca="false">IF(NOT(Tasks[[#This Row],[_IsLeaf]]=1),0,MAX(_xlfn.MAXIFS(Tasks[_Row],Tasks[Pred1 UID],Tasks[[#This Row],[UID]]),_xlfn.MAXIFS(Tasks[_Row],Tasks[Pred2 UID],Tasks[[#This Row],[UID]]),_xlfn.MAXIFS(Tasks[_Row],Tasks[Pred3 UID],Tasks[[#This Row],[UID]]),_xlfn.MAXIFS(Tasks[_Row],Tasks[Pred4 UID],Tasks[[#This Row],[UID]])))</f>
        <v>0</v>
      </c>
      <c r="CZ1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8" s="101" t="str">
        <f aca="false">IF(NOT(Tasks[[#This Row],[_IsLeaf]]=1),"",IF(N(Tasks[[#This Row],[Duration]])&lt;=0,Tasks[[#This Row],[_LeafLateFinish]],WORKDAY.INTL(Tasks[[#This Row],[_LeafLateFinish]],-(Tasks[[#This Row],[Duration]]-1),WorkWeek,Holidays)))</f>
        <v/>
      </c>
      <c r="DC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8" s="100" t="b">
        <f aca="false">AND(Tasks[[#This Row],[_IsLeaf]]=1,Tasks[[#This Row],[_LeafProgress]]&lt;1,N(Tasks[[#This Row],[_LeafTotalSlack]])&lt;=CriticalSlackDays)</f>
        <v>0</v>
      </c>
      <c r="DE148" s="41" t="n">
        <f aca="false">IF(AND(Tasks[[#This Row],[_IsLeaf]]=1,Tasks[[#This Row],[_ConstraintCode]]=1,Tasks[[#This Row],[Mode]]&lt;&gt;"Manual",N(Tasks[[#This Row],[Actual Start]])=0),MAX(0,N(Tasks[[#This Row],[Free Slack]])),0)</f>
        <v>0</v>
      </c>
      <c r="DF148" s="101" t="str">
        <f aca="false">IF(NOT(Tasks[[#This Row],[_IsLeaf]]=1),"",IF(Tasks[[#This Row],[_AlapShift]]=0,Tasks[[#This Row],[_LeafCalcStart]],WORKDAY.INTL(Tasks[[#This Row],[_LeafCalcStart]],Tasks[[#This Row],[_AlapShift]],WorkWeek,Holidays)))</f>
        <v/>
      </c>
      <c r="DG148" s="101" t="str">
        <f aca="false">IF(NOT(Tasks[[#This Row],[_IsLeaf]]=1),"",IF(Tasks[[#This Row],[_AlapShift]]=0,Tasks[[#This Row],[_LeafCalcFinish]],WORKDAY.INTL(Tasks[[#This Row],[_LeafCalcFinish]],Tasks[[#This Row],[_AlapShift]],WorkWeek,Holidays)))</f>
        <v/>
      </c>
      <c r="DH148" s="101" t="str">
        <f aca="false">IF(NOT(Tasks[[#This Row],[_IsLeaf]]=1),"",IF(Tasks[[#This Row],[_AlapShift]]=0,Tasks[[#This Row],[_LeafFcstStart]],WORKDAY.INTL(Tasks[[#This Row],[_LeafFcstStart]],Tasks[[#This Row],[_AlapShift]],WorkWeek,Holidays)))</f>
        <v/>
      </c>
      <c r="DI148" s="101" t="str">
        <f aca="false">IF(NOT(Tasks[[#This Row],[_IsLeaf]]=1),"",IF(Tasks[[#This Row],[_AlapShift]]=0,Tasks[[#This Row],[_LeafFcstFinish]],WORKDAY.INTL(Tasks[[#This Row],[_LeafFcstFinish]],Tasks[[#This Row],[_AlapShift]],WorkWeek,Holidays)))</f>
        <v/>
      </c>
      <c r="DJ148" s="101" t="str">
        <f aca="false">IF(Tasks[[#This Row],[Task Name]]="","",IF(Tasks[[#This Row],[_IsSummary]],MIN(INDEX(Tasks[_ShownCalcStart],Tasks[[#This Row],[_Row]]+1):INDEX(Tasks[_ShownCalcStart],Tasks[[#This Row],[_Row]]+Tasks[[#This Row],[_Descendants]])),Tasks[[#This Row],[_ShownCalcStart]]))</f>
        <v/>
      </c>
      <c r="DK148" s="101" t="str">
        <f aca="false">IF(Tasks[[#This Row],[Task Name]]="","",IF(Tasks[[#This Row],[_IsSummary]],MAX(INDEX(Tasks[_ShownCalcFinish],Tasks[[#This Row],[_Row]]+1):INDEX(Tasks[_ShownCalcFinish],Tasks[[#This Row],[_Row]]+Tasks[[#This Row],[_Descendants]])),Tasks[[#This Row],[_ShownCalcFinish]]))</f>
        <v/>
      </c>
      <c r="D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8" s="41" t="n">
        <f aca="false">IF(AND(Tasks[[#This Row],[_IsLeaf]]=1,Tasks[[#This Row],[_LeafTotalWork]]&gt;0),NETWORKDAYS.INTL(ProjectStart,Tasks[[#This Row],[_ShownFcstStart]],WorkWeek,Holidays),0)</f>
        <v>0</v>
      </c>
      <c r="DY148" s="41" t="n">
        <f aca="false">IF(AND(Tasks[[#This Row],[_IsLeaf]]=1,Tasks[[#This Row],[_LeafTotalWork]]&gt;0),MAX(Tasks[[#This Row],[_StartWorkday]],NETWORKDAYS.INTL(ProjectStart,Tasks[[#This Row],[_ShownFcstFinish]],WorkWeek,Holidays)),0)</f>
        <v>0</v>
      </c>
      <c r="DZ148" s="41" t="n">
        <f aca="false">IF(AND(Tasks[[#This Row],[_IsLeaf]]=1,Tasks[[#This Row],[_LeafTotalWork]]&gt;0),Tasks[[#This Row],[_LeafWork]]/(Tasks[[#This Row],[_FinishWorkday]]-Tasks[[#This Row],[_StartWorkday]]+1),0)</f>
        <v>0</v>
      </c>
      <c r="EA148" s="41" t="n">
        <f aca="false">Tasks[[#This Row],[_WorkPerWorkday]]*(Tasks[[#This Row],[_StartWorkday]]-1)</f>
        <v>-0</v>
      </c>
      <c r="EB148" s="41" t="n">
        <f aca="false">IF(Tasks[[#This Row],[_IsLeaf]]=1,MAX(N(Tasks[[#This Row],[Duration]]),0.1),0)</f>
        <v>0</v>
      </c>
      <c r="EC148" s="41" t="n">
        <f aca="false">Tasks[[#This Row],[_WeightDur]]*Tasks[[#This Row],[_LeafProgress]]</f>
        <v>0</v>
      </c>
      <c r="ED1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8" s="41" t="str">
        <f aca="false">IF(AND(Tasks[[#This Row],[_IsLeaf]]=1,N(Tasks[[#This Row],[Duration]])=0,Tasks[[#This Row],[_LeafProgress]]&lt;1),Tasks[[#This Row],[_ShownFcstFinish]]+Tasks[[#This Row],[_Row]]/100000,"")</f>
        <v/>
      </c>
      <c r="EF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8" s="41" t="n">
        <f aca="false">IF(NOT(Tasks[[#This Row],[_IsLeaf]]=1),0,IF(Tasks[[#This Row],[Baseline Cost]]="",Tasks[[#This Row],[_LeafTotalCost]],N(Tasks[[#This Row],[Baseline Cost]])))</f>
        <v>0</v>
      </c>
      <c r="EH148" s="41" t="n">
        <f aca="false">Tasks[[#This Row],[_LeafBudget]]*Tasks[[#This Row],[_PlannedPct]]</f>
        <v>0</v>
      </c>
      <c r="EI148" s="41" t="n">
        <f aca="false">Tasks[[#This Row],[_LeafBudget]]*Tasks[[#This Row],[_LeafProgress]]</f>
        <v>0</v>
      </c>
      <c r="EJ148" s="41" t="n">
        <f aca="false">IF(NOT(Tasks[[#This Row],[_IsLeaf]]=1),0,IF(Tasks[[#This Row],[Actual Cost]]="",Tasks[[#This Row],[_LeafTotalCost]]*Tasks[[#This Row],[_LeafProgress]],N(Tasks[[#This Row],[Actual Cost]])))</f>
        <v>0</v>
      </c>
      <c r="EK148" s="41" t="str">
        <f aca="false">IF(Tasks[[#This Row],[Task Name]]="","",LEFT(Tasks[[#This Row],[WBS]],FIND(".",Tasks[[#This Row],[WBS]]&amp;".")-1))</f>
        <v/>
      </c>
      <c r="EL148" s="41" t="str">
        <f aca="false">IF(AND(Tasks[[#This Row],[Task Name]]&lt;&gt;"",Tasks[[#This Row],[_Level]]=1),Tasks[[#This Row],[_Row]],"")</f>
        <v/>
      </c>
      <c r="EM148" s="41" t="str">
        <f aca="false">IF(AND(Tasks[[#This Row],[_IsLeaf]]=1,N(Tasks[[#This Row],[Duration]])=0),Tasks[[#This Row],[Planned Finish]]+Tasks[[#This Row],[_Row]]/100000,"")</f>
        <v/>
      </c>
      <c r="EN148" s="41" t="str">
        <f aca="false">IF(AND(Tasks[[#This Row],[_IsLeaf]]=1,Tasks[[#This Row],[_LeafProgress]]&lt;1,OR(N(Tasks[[#This Row],[Finish Var]])&gt;0,Tasks[[#This Row],[Status]]="Late Start")),MAX(0,Tasks[[#This Row],[Finish Var]])+1-Tasks[[#This Row],[_Row]]/1000000,"")</f>
        <v/>
      </c>
      <c r="EO148" s="41" t="str">
        <f aca="false">IF(AND(Tasks[[#This Row],[_IsLeaf]]=1,N(Tasks[[#This Row],[Actual Start]])=0,Tasks[[#This Row],[_ShownFcstStart]]&gt;=StatusDate,Tasks[[#This Row],[_ShownFcstStart]]&lt;=LookaheadEnd),Tasks[[#This Row],[_ShownFcstStart]]+Tasks[[#This Row],[_Row]]/100000,"")</f>
        <v/>
      </c>
      <c r="EP148" s="41" t="str">
        <f aca="false">IF(AND(Tasks[[#This Row],[_IsLeaf]]=1,Tasks[[#This Row],[_LeafProgress]]&lt;1,Tasks[[#This Row],[_ShownFcstFinish]]&gt;=StatusDate,Tasks[[#This Row],[_ShownFcstFinish]]&lt;=LookaheadEnd),Tasks[[#This Row],[_ShownFcstFinish]]+Tasks[[#This Row],[_Row]]/100000,"")</f>
        <v/>
      </c>
      <c r="EQ148" s="41" t="str">
        <f aca="false">IF(Tasks[[#This Row],[_LeafCritical]],Tasks[[#This Row],[_ShownFcstStart]]+Tasks[[#This Row],[_Row]]/100000,"")</f>
        <v/>
      </c>
      <c r="ER148" s="41" t="n">
        <f aca="false">Tasks[[#This Row],[_LeafWork]]*Tasks[[#This Row],[_LeafProgress]]</f>
        <v>0</v>
      </c>
      <c r="ES148" s="101" t="str">
        <f aca="false">IF(AND(Tasks[[#This Row],[_IsLeaf]]=1,Tasks[[#This Row],[_LeafProgress]]&gt;=1),IF(N(Tasks[[#This Row],[Actual Finish]])&gt;0,Tasks[[#This Row],[Actual Finish]],Tasks[[#This Row],[_ShownFcstFinish]]),"")</f>
        <v/>
      </c>
      <c r="ET148" s="41" t="n">
        <f aca="false">IF(Tasks[[#This Row],[_IsLeaf]]=1,N(Tasks[[#This Row],[Story Points]]),0)</f>
        <v>0</v>
      </c>
      <c r="EU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29"/>
      <c r="O149" s="29"/>
      <c r="P149" s="29"/>
      <c r="Q149" s="29"/>
      <c r="R149" s="29"/>
      <c r="S149" s="29"/>
      <c r="T149" s="30"/>
      <c r="U149" s="75"/>
      <c r="V149" s="75"/>
      <c r="W149" s="25" t="str">
        <f aca="false">IF(Tasks[[#This Row],[Task Name]]="","",IF(N(Tasks[[#This Row],[Baseline Start]])&gt;0,Tasks[[#This Row],[Baseline Start]],Tasks[[#This Row],[_CalcStart]]))</f>
        <v/>
      </c>
      <c r="X149" s="25" t="str">
        <f aca="false">IF(Tasks[[#This Row],[Task Name]]="","",IF(N(Tasks[[#This Row],[Baseline Finish]])&gt;0,Tasks[[#This Row],[Baseline Finish]],Tasks[[#This Row],[_CalcFinish]]))</f>
        <v/>
      </c>
      <c r="Y149" s="75"/>
      <c r="Z149" s="75"/>
      <c r="AA149" s="25" t="str">
        <f aca="false">IF(Tasks[[#This Row],[Task Name]]="","",IF(Tasks[[#This Row],[_IsSummary]],MIN(INDEX(Tasks[_ShownFcstStart],Tasks[[#This Row],[_Row]]+1):INDEX(Tasks[_ShownFcstStart],Tasks[[#This Row],[_Row]]+Tasks[[#This Row],[_Descendants]])),Tasks[[#This Row],[_ShownFcstStart]]))</f>
        <v/>
      </c>
      <c r="AB149" s="25" t="str">
        <f aca="false">IF(Tasks[[#This Row],[Task Name]]="","",IF(Tasks[[#This Row],[_IsSummary]],MAX(INDEX(Tasks[_ShownFcstFinish],Tasks[[#This Row],[_Row]]+1):INDEX(Tasks[_ShownFcstFinish],Tasks[[#This Row],[_Row]]+Tasks[[#This Row],[_Descendants]])),Tasks[[#This Row],[_ShownFcstFinish]]))</f>
        <v/>
      </c>
      <c r="AC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9" s="25" t="str">
        <f aca="false">IF(Tasks[[#This Row],[Task Name]]="","",IF(Tasks[[#This Row],[_IsSummary]],MIN(INDEX(Tasks[_LeafLateStart],Tasks[[#This Row],[_Row]]+1):INDEX(Tasks[_LeafLateStart],Tasks[[#This Row],[_Row]]+Tasks[[#This Row],[_Descendants]])),Tasks[[#This Row],[_LeafLateStart]]))</f>
        <v/>
      </c>
      <c r="AF149" s="25" t="str">
        <f aca="false">IF(Tasks[[#This Row],[Task Name]]="","",IF(Tasks[[#This Row],[_IsSummary]],MAX(INDEX(Tasks[_LeafLateFinish],Tasks[[#This Row],[_Row]]+1):INDEX(Tasks[_LeafLateFinish],Tasks[[#This Row],[_Row]]+Tasks[[#This Row],[_Descendants]])),Tasks[[#This Row],[_LeafLateFinish]]))</f>
        <v/>
      </c>
      <c r="AG149" s="28" t="str">
        <f aca="false">IF(Tasks[[#This Row],[Task Name]]="","",IF(Tasks[[#This Row],[_IsSummary]],MIN(INDEX(Tasks[_LeafTotalSlack],Tasks[[#This Row],[_Row]]+1):INDEX(Tasks[_LeafTotalSlack],Tasks[[#This Row],[_Row]]+Tasks[[#This Row],[_Descendants]])),Tasks[[#This Row],[_LeafTotalSlack]]))</f>
        <v/>
      </c>
      <c r="AH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9" s="28" t="str">
        <f aca="false">IF(Tasks[[#This Row],[Task Name]]="","",IF(IF(Tasks[[#This Row],[_IsSummary]],COUNTIF(INDEX(Tasks[_LeafCritical],Tasks[[#This Row],[_Row]]+1):INDEX(Tasks[_LeafCritical],Tasks[[#This Row],[_Row]]+Tasks[[#This Row],[_Descendants]]),TRUE())&gt;0,Tasks[[#This Row],[_LeafCritical]]),"Yes",""))</f>
        <v/>
      </c>
      <c r="AJ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9" s="89"/>
      <c r="AM1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9" s="28" t="str">
        <f aca="false">IF(Tasks[[#This Row],[Task Name]]="","",IF(Tasks[[#This Row],[Progress]]&gt;=1,"Complete",IF(OR(N(Tasks[[#This Row],[Actual Start]])&gt;0,Tasks[[#This Row],[Progress]]&gt;0),IF(Tasks[[#This Row],[Finish Var]]&gt;0,"Behind","In Progress"),IF(Tasks[[#This Row],[Planned Start]]&lt;StatusDate,"Late Start","Not Started"))))</f>
        <v/>
      </c>
      <c r="AO149" s="30"/>
      <c r="AP149" s="89"/>
      <c r="AQ1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9" s="96" t="str">
        <f aca="false">IF(Tasks[[#This Row],[Task Name]]="","",IF(Tasks[[#This Row],[_IsSummary]],SUM(INDEX(Tasks[_LeafTotalWork],Tasks[[#This Row],[_Row]]+1):INDEX(Tasks[_LeafTotalWork],Tasks[[#This Row],[_Row]]+Tasks[[#This Row],[_Descendants]])),Tasks[[#This Row],[_LeafTotalWork]]))</f>
        <v/>
      </c>
      <c r="AT149" s="97" t="str">
        <f aca="false">IF(Tasks[[#This Row],[Task Name]]="","",IF(Tasks[[#This Row],[_IsSummary]],SUM(INDEX(Tasks[_LeafTotalCost],Tasks[[#This Row],[_Row]]+1):INDEX(Tasks[_LeafTotalCost],Tasks[[#This Row],[_Row]]+Tasks[[#This Row],[_Descendants]])),Tasks[[#This Row],[_LeafTotalCost]]))</f>
        <v/>
      </c>
      <c r="AU149" s="98"/>
      <c r="AV149" s="29"/>
      <c r="AW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9" s="83"/>
      <c r="AY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9" s="30"/>
      <c r="BA149" s="25" t="str">
        <f aca="false">IF(Tasks[[#This Row],[Task Name]]="","",Tasks[[#This Row],[Forecast Start]])</f>
        <v/>
      </c>
      <c r="BB149" s="25" t="str">
        <f aca="false">IF(Tasks[[#This Row],[Task Name]]="","",Tasks[[#This Row],[Forecast Finish]])</f>
        <v/>
      </c>
      <c r="BC149" s="28" t="str">
        <f aca="false">IF(Tasks[[#This Row],[Task Name]]="","",IF(Tasks[[#This Row],[_IsSummary]],NETWORKDAYS.INTL(Tasks[[#This Row],[Forecast Start]],Tasks[[#This Row],[Forecast Finish]],WorkWeek,Holidays),N(Tasks[[#This Row],[Duration]])))</f>
        <v/>
      </c>
      <c r="BD149" s="96" t="str">
        <f aca="false">IF(Tasks[[#This Row],[Task Name]]="","",Tasks[[#This Row],[Work]])</f>
        <v/>
      </c>
      <c r="BE149" s="97" t="str">
        <f aca="false">IF(Tasks[[#This Row],[Task Name]]="","",Tasks[[#This Row],[Cost]])</f>
        <v/>
      </c>
      <c r="BF149" s="75"/>
      <c r="BG149" s="75"/>
      <c r="BH149" s="29"/>
      <c r="BI149" s="99"/>
      <c r="BJ149" s="98"/>
      <c r="BK149" s="28" t="str">
        <f aca="false">IF(OR(Tasks[[#This Row],[Task Name]]="",Tasks[[#This Row],[Baseline Duration]]=""),"",Tasks[[#This Row],[BL Source Duration]]-N(Tasks[[#This Row],[Baseline Duration]]))</f>
        <v/>
      </c>
      <c r="BL149" s="96" t="str">
        <f aca="false">IF(OR(Tasks[[#This Row],[Task Name]]="",Tasks[[#This Row],[Baseline Work]]=""),"",Tasks[[#This Row],[Work]]-N(Tasks[[#This Row],[Baseline Work]]))</f>
        <v/>
      </c>
      <c r="BM149" s="97" t="str">
        <f aca="false">IF(OR(Tasks[[#This Row],[Task Name]]="",Tasks[[#This Row],[Baseline Cost]]=""),"",Tasks[[#This Row],[Cost]]-N(Tasks[[#This Row],[Baseline Cost]]))</f>
        <v/>
      </c>
      <c r="BN149" s="97" t="str">
        <f aca="false">IF(Tasks[[#This Row],[Task Name]]="","",IF(Tasks[[#This Row],[_IsSummary]],SUM(INDEX(Tasks[_LeafBudget],Tasks[[#This Row],[_Row]]+1):INDEX(Tasks[_LeafBudget],Tasks[[#This Row],[_Row]]+Tasks[[#This Row],[_Descendants]])),Tasks[[#This Row],[_LeafBudget]]))</f>
        <v/>
      </c>
      <c r="BO149" s="97" t="str">
        <f aca="false">IF(Tasks[[#This Row],[Task Name]]="","",IF(Tasks[[#This Row],[_IsSummary]],SUM(INDEX(Tasks[_LeafPV],Tasks[[#This Row],[_Row]]+1):INDEX(Tasks[_LeafPV],Tasks[[#This Row],[_Row]]+Tasks[[#This Row],[_Descendants]])),Tasks[[#This Row],[_LeafPV]]))</f>
        <v/>
      </c>
      <c r="BP149" s="97" t="str">
        <f aca="false">IF(Tasks[[#This Row],[Task Name]]="","",IF(Tasks[[#This Row],[_IsSummary]],SUM(INDEX(Tasks[_LeafEV],Tasks[[#This Row],[_Row]]+1):INDEX(Tasks[_LeafEV],Tasks[[#This Row],[_Row]]+Tasks[[#This Row],[_Descendants]])),Tasks[[#This Row],[_LeafEV]]))</f>
        <v/>
      </c>
      <c r="BQ149" s="97" t="str">
        <f aca="false">IF(Tasks[[#This Row],[Task Name]]="","",IF(Tasks[[#This Row],[_IsSummary]],SUM(INDEX(Tasks[_LeafAC],Tasks[[#This Row],[_Row]]+1):INDEX(Tasks[_LeafAC],Tasks[[#This Row],[_Row]]+Tasks[[#This Row],[_Descendants]])),Tasks[[#This Row],[_LeafAC]]))</f>
        <v/>
      </c>
      <c r="BR149" s="41" t="str">
        <f aca="false">IF(Tasks[[#This Row],[Task Name]]="","",MAX(1,N(Tasks[[#This Row],[Level]])))</f>
        <v/>
      </c>
      <c r="BS149" s="41" t="n">
        <f aca="false">ROW()-ROW(Tasks[[#Headers],[ID]])</f>
        <v>144</v>
      </c>
      <c r="BT149" s="41" t="n">
        <f aca="false">IF(OR(Tasks[[#This Row],[Task Name]]="",Tasks[[#This Row],[_Level]]&lt;=1),0,IFERROR(LOOKUP(2,1/(Tasks[[#Headers],[_Level]]:Tasks[[#This Row],[_Level]]=Tasks[[#This Row],[_Level]]-1),ROW(Tasks[[#Headers],[_Level]]:Tasks[[#This Row],[_Level]])),0))</f>
        <v>0</v>
      </c>
      <c r="BU149" s="41" t="n">
        <f aca="false">IFERROR(N(INDEX(Tasks[_Level],Tasks[[#This Row],[_Row]]+1)),0)</f>
        <v>0</v>
      </c>
      <c r="BV149" s="100" t="b">
        <f aca="false">AND(Tasks[[#This Row],[Task Name]]&lt;&gt;"",Tasks[[#This Row],[_NextLevel]]&gt;Tasks[[#This Row],[_Level]])</f>
        <v>0</v>
      </c>
      <c r="BW149" s="41" t="n">
        <f aca="false">IF(Tasks[[#This Row],[_IsSummary]],COUNTIF(Tasks[WBS],Tasks[[#This Row],[WBS]]&amp;".*"),0)</f>
        <v>0</v>
      </c>
      <c r="BX149" s="41" t="n">
        <f aca="false">IF(AND(Tasks[[#This Row],[Task Name]]&lt;&gt;"",NOT(Tasks[[#This Row],[_IsSummary]])),1,0)</f>
        <v>0</v>
      </c>
      <c r="BY149" s="41" t="n">
        <f aca="false">IF(N(Tasks[[#This Row],[Pred1 UID]])=0,0,IFERROR(MATCH(Tasks[[#This Row],[Pred1 UID]],Tasks[UID],0),-1))</f>
        <v>0</v>
      </c>
      <c r="BZ149" s="41" t="n">
        <f aca="false">IF(N(Tasks[[#This Row],[Pred2 UID]])=0,0,IFERROR(MATCH(Tasks[[#This Row],[Pred2 UID]],Tasks[UID],0),-1))</f>
        <v>0</v>
      </c>
      <c r="CA149" s="41" t="n">
        <f aca="false">IF(N(Tasks[[#This Row],[Pred3 UID]])=0,0,IFERROR(MATCH(Tasks[[#This Row],[Pred3 UID]],Tasks[UID],0),-1))</f>
        <v>0</v>
      </c>
      <c r="CB149" s="41" t="n">
        <f aca="false">IF(N(Tasks[[#This Row],[Pred4 UID]])=0,0,IFERROR(MATCH(Tasks[[#This Row],[Pred4 UID]],Tasks[UID],0),-1))</f>
        <v>0</v>
      </c>
      <c r="CC1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9" s="101" t="n">
        <f aca="false">IF(OR(Tasks[[#This Row],[_ConstraintCode]]=2,Tasks[[#This Row],[_ConstraintCode]]=3,Tasks[[#This Row],[_ConstraintCode]]=4,Tasks[[#This Row],[_ConstraintCode]]=6),Tasks[[#This Row],[_ConstraintStart]],0)</f>
        <v>0</v>
      </c>
      <c r="CF149" s="101" t="n">
        <f aca="false">IF(OR(Tasks[[#This Row],[_ConstraintCode]]=2,Tasks[[#This Row],[_ConstraintCode]]=3,Tasks[[#This Row],[_ConstraintCode]]=5,Tasks[[#This Row],[_ConstraintCode]]=7),Tasks[[#This Row],[_ConstraintStart]],2958465)</f>
        <v>2958465</v>
      </c>
      <c r="CG14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9" s="101" t="str">
        <f aca="false">IF(NOT(Tasks[[#This Row],[_IsLeaf]]=1),"",IF(N(Tasks[[#This Row],[Duration]])&lt;=0,Tasks[[#This Row],[_LeafCalcStart]],WORKDAY.INTL(Tasks[[#This Row],[_LeafCalcStart]],Tasks[[#This Row],[Duration]]-1,WorkWeek,Holidays)))</f>
        <v/>
      </c>
      <c r="CI14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9" s="41" t="n">
        <f aca="false">IF(NOT(Tasks[[#This Row],[_IsLeaf]]=1),0,IF(N(Tasks[[#This Row],[Actual Finish]])&gt;0,1,MIN(1,N(Tasks[[#This Row],[% Complete]]))))</f>
        <v>0</v>
      </c>
      <c r="CL149" s="41" t="n">
        <f aca="false">IF(OR(NOT(Tasks[[#This Row],[_IsLeaf]]=1),Tasks[[#This Row],[Resource]]=""),0,N(Tasks[[#This Row],[Duration]])*HoursPerDay*IF(Tasks[[#This Row],[Units]]="",DefaultUnits,Tasks[[#This Row],[Units]]))</f>
        <v>0</v>
      </c>
      <c r="CM149" s="41" t="n">
        <f aca="false">IF(Tasks[[#This Row],[_LeafWork]]=0,0,Tasks[[#This Row],[_LeafWork]]*IFERROR(INDEX(res_Rate,MATCH(Tasks[[#This Row],[Resource]],res_Name,0)),0))</f>
        <v>0</v>
      </c>
      <c r="CN149" s="41" t="n">
        <f aca="false">Tasks[[#This Row],[_LeafWork]]+IF(Tasks[[#This Row],[_IsLeaf]]=1,SUMIFS(asg_Work,asg_TaskUID,Tasks[[#This Row],[UID]],asg_Valid,1),0)</f>
        <v>0</v>
      </c>
      <c r="CO149" s="41" t="n">
        <f aca="false">Tasks[[#This Row],[_LeafCost]]+IF(Tasks[[#This Row],[_IsLeaf]]=1,SUMIFS(asg_Cost,asg_TaskUID,Tasks[[#This Row],[UID]],asg_Valid,1),0)</f>
        <v>0</v>
      </c>
      <c r="CP149" s="41" t="n">
        <f aca="false">IF(Tasks[[#This Row],[_LeafTotalCost]]=0,Tasks[[#This Row],[_LeafAC]],Tasks[[#This Row],[_LeafAC]]*Tasks[[#This Row],[_LeafCost]]/Tasks[[#This Row],[_LeafTotalCost]])</f>
        <v>0</v>
      </c>
      <c r="CQ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9" s="41" t="n">
        <f aca="false">IF(NOT(Tasks[[#This Row],[_IsLeaf]]=1),0,MAX(_xlfn.MAXIFS(Tasks[_Row],Tasks[Pred1 UID],Tasks[[#This Row],[UID]]),_xlfn.MAXIFS(Tasks[_Row],Tasks[Pred2 UID],Tasks[[#This Row],[UID]]),_xlfn.MAXIFS(Tasks[_Row],Tasks[Pred3 UID],Tasks[[#This Row],[UID]]),_xlfn.MAXIFS(Tasks[_Row],Tasks[Pred4 UID],Tasks[[#This Row],[UID]])))</f>
        <v>0</v>
      </c>
      <c r="CZ1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9" s="101" t="str">
        <f aca="false">IF(NOT(Tasks[[#This Row],[_IsLeaf]]=1),"",IF(N(Tasks[[#This Row],[Duration]])&lt;=0,Tasks[[#This Row],[_LeafLateFinish]],WORKDAY.INTL(Tasks[[#This Row],[_LeafLateFinish]],-(Tasks[[#This Row],[Duration]]-1),WorkWeek,Holidays)))</f>
        <v/>
      </c>
      <c r="DC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9" s="100" t="b">
        <f aca="false">AND(Tasks[[#This Row],[_IsLeaf]]=1,Tasks[[#This Row],[_LeafProgress]]&lt;1,N(Tasks[[#This Row],[_LeafTotalSlack]])&lt;=CriticalSlackDays)</f>
        <v>0</v>
      </c>
      <c r="DE149" s="41" t="n">
        <f aca="false">IF(AND(Tasks[[#This Row],[_IsLeaf]]=1,Tasks[[#This Row],[_ConstraintCode]]=1,Tasks[[#This Row],[Mode]]&lt;&gt;"Manual",N(Tasks[[#This Row],[Actual Start]])=0),MAX(0,N(Tasks[[#This Row],[Free Slack]])),0)</f>
        <v>0</v>
      </c>
      <c r="DF149" s="101" t="str">
        <f aca="false">IF(NOT(Tasks[[#This Row],[_IsLeaf]]=1),"",IF(Tasks[[#This Row],[_AlapShift]]=0,Tasks[[#This Row],[_LeafCalcStart]],WORKDAY.INTL(Tasks[[#This Row],[_LeafCalcStart]],Tasks[[#This Row],[_AlapShift]],WorkWeek,Holidays)))</f>
        <v/>
      </c>
      <c r="DG149" s="101" t="str">
        <f aca="false">IF(NOT(Tasks[[#This Row],[_IsLeaf]]=1),"",IF(Tasks[[#This Row],[_AlapShift]]=0,Tasks[[#This Row],[_LeafCalcFinish]],WORKDAY.INTL(Tasks[[#This Row],[_LeafCalcFinish]],Tasks[[#This Row],[_AlapShift]],WorkWeek,Holidays)))</f>
        <v/>
      </c>
      <c r="DH149" s="101" t="str">
        <f aca="false">IF(NOT(Tasks[[#This Row],[_IsLeaf]]=1),"",IF(Tasks[[#This Row],[_AlapShift]]=0,Tasks[[#This Row],[_LeafFcstStart]],WORKDAY.INTL(Tasks[[#This Row],[_LeafFcstStart]],Tasks[[#This Row],[_AlapShift]],WorkWeek,Holidays)))</f>
        <v/>
      </c>
      <c r="DI149" s="101" t="str">
        <f aca="false">IF(NOT(Tasks[[#This Row],[_IsLeaf]]=1),"",IF(Tasks[[#This Row],[_AlapShift]]=0,Tasks[[#This Row],[_LeafFcstFinish]],WORKDAY.INTL(Tasks[[#This Row],[_LeafFcstFinish]],Tasks[[#This Row],[_AlapShift]],WorkWeek,Holidays)))</f>
        <v/>
      </c>
      <c r="DJ149" s="101" t="str">
        <f aca="false">IF(Tasks[[#This Row],[Task Name]]="","",IF(Tasks[[#This Row],[_IsSummary]],MIN(INDEX(Tasks[_ShownCalcStart],Tasks[[#This Row],[_Row]]+1):INDEX(Tasks[_ShownCalcStart],Tasks[[#This Row],[_Row]]+Tasks[[#This Row],[_Descendants]])),Tasks[[#This Row],[_ShownCalcStart]]))</f>
        <v/>
      </c>
      <c r="DK149" s="101" t="str">
        <f aca="false">IF(Tasks[[#This Row],[Task Name]]="","",IF(Tasks[[#This Row],[_IsSummary]],MAX(INDEX(Tasks[_ShownCalcFinish],Tasks[[#This Row],[_Row]]+1):INDEX(Tasks[_ShownCalcFinish],Tasks[[#This Row],[_Row]]+Tasks[[#This Row],[_Descendants]])),Tasks[[#This Row],[_ShownCalcFinish]]))</f>
        <v/>
      </c>
      <c r="D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9" s="41" t="n">
        <f aca="false">IF(AND(Tasks[[#This Row],[_IsLeaf]]=1,Tasks[[#This Row],[_LeafTotalWork]]&gt;0),NETWORKDAYS.INTL(ProjectStart,Tasks[[#This Row],[_ShownFcstStart]],WorkWeek,Holidays),0)</f>
        <v>0</v>
      </c>
      <c r="DY149" s="41" t="n">
        <f aca="false">IF(AND(Tasks[[#This Row],[_IsLeaf]]=1,Tasks[[#This Row],[_LeafTotalWork]]&gt;0),MAX(Tasks[[#This Row],[_StartWorkday]],NETWORKDAYS.INTL(ProjectStart,Tasks[[#This Row],[_ShownFcstFinish]],WorkWeek,Holidays)),0)</f>
        <v>0</v>
      </c>
      <c r="DZ149" s="41" t="n">
        <f aca="false">IF(AND(Tasks[[#This Row],[_IsLeaf]]=1,Tasks[[#This Row],[_LeafTotalWork]]&gt;0),Tasks[[#This Row],[_LeafWork]]/(Tasks[[#This Row],[_FinishWorkday]]-Tasks[[#This Row],[_StartWorkday]]+1),0)</f>
        <v>0</v>
      </c>
      <c r="EA149" s="41" t="n">
        <f aca="false">Tasks[[#This Row],[_WorkPerWorkday]]*(Tasks[[#This Row],[_StartWorkday]]-1)</f>
        <v>-0</v>
      </c>
      <c r="EB149" s="41" t="n">
        <f aca="false">IF(Tasks[[#This Row],[_IsLeaf]]=1,MAX(N(Tasks[[#This Row],[Duration]]),0.1),0)</f>
        <v>0</v>
      </c>
      <c r="EC149" s="41" t="n">
        <f aca="false">Tasks[[#This Row],[_WeightDur]]*Tasks[[#This Row],[_LeafProgress]]</f>
        <v>0</v>
      </c>
      <c r="ED1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9" s="41" t="str">
        <f aca="false">IF(AND(Tasks[[#This Row],[_IsLeaf]]=1,N(Tasks[[#This Row],[Duration]])=0,Tasks[[#This Row],[_LeafProgress]]&lt;1),Tasks[[#This Row],[_ShownFcstFinish]]+Tasks[[#This Row],[_Row]]/100000,"")</f>
        <v/>
      </c>
      <c r="EF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9" s="41" t="n">
        <f aca="false">IF(NOT(Tasks[[#This Row],[_IsLeaf]]=1),0,IF(Tasks[[#This Row],[Baseline Cost]]="",Tasks[[#This Row],[_LeafTotalCost]],N(Tasks[[#This Row],[Baseline Cost]])))</f>
        <v>0</v>
      </c>
      <c r="EH149" s="41" t="n">
        <f aca="false">Tasks[[#This Row],[_LeafBudget]]*Tasks[[#This Row],[_PlannedPct]]</f>
        <v>0</v>
      </c>
      <c r="EI149" s="41" t="n">
        <f aca="false">Tasks[[#This Row],[_LeafBudget]]*Tasks[[#This Row],[_LeafProgress]]</f>
        <v>0</v>
      </c>
      <c r="EJ149" s="41" t="n">
        <f aca="false">IF(NOT(Tasks[[#This Row],[_IsLeaf]]=1),0,IF(Tasks[[#This Row],[Actual Cost]]="",Tasks[[#This Row],[_LeafTotalCost]]*Tasks[[#This Row],[_LeafProgress]],N(Tasks[[#This Row],[Actual Cost]])))</f>
        <v>0</v>
      </c>
      <c r="EK149" s="41" t="str">
        <f aca="false">IF(Tasks[[#This Row],[Task Name]]="","",LEFT(Tasks[[#This Row],[WBS]],FIND(".",Tasks[[#This Row],[WBS]]&amp;".")-1))</f>
        <v/>
      </c>
      <c r="EL149" s="41" t="str">
        <f aca="false">IF(AND(Tasks[[#This Row],[Task Name]]&lt;&gt;"",Tasks[[#This Row],[_Level]]=1),Tasks[[#This Row],[_Row]],"")</f>
        <v/>
      </c>
      <c r="EM149" s="41" t="str">
        <f aca="false">IF(AND(Tasks[[#This Row],[_IsLeaf]]=1,N(Tasks[[#This Row],[Duration]])=0),Tasks[[#This Row],[Planned Finish]]+Tasks[[#This Row],[_Row]]/100000,"")</f>
        <v/>
      </c>
      <c r="EN149" s="41" t="str">
        <f aca="false">IF(AND(Tasks[[#This Row],[_IsLeaf]]=1,Tasks[[#This Row],[_LeafProgress]]&lt;1,OR(N(Tasks[[#This Row],[Finish Var]])&gt;0,Tasks[[#This Row],[Status]]="Late Start")),MAX(0,Tasks[[#This Row],[Finish Var]])+1-Tasks[[#This Row],[_Row]]/1000000,"")</f>
        <v/>
      </c>
      <c r="EO149" s="41" t="str">
        <f aca="false">IF(AND(Tasks[[#This Row],[_IsLeaf]]=1,N(Tasks[[#This Row],[Actual Start]])=0,Tasks[[#This Row],[_ShownFcstStart]]&gt;=StatusDate,Tasks[[#This Row],[_ShownFcstStart]]&lt;=LookaheadEnd),Tasks[[#This Row],[_ShownFcstStart]]+Tasks[[#This Row],[_Row]]/100000,"")</f>
        <v/>
      </c>
      <c r="EP149" s="41" t="str">
        <f aca="false">IF(AND(Tasks[[#This Row],[_IsLeaf]]=1,Tasks[[#This Row],[_LeafProgress]]&lt;1,Tasks[[#This Row],[_ShownFcstFinish]]&gt;=StatusDate,Tasks[[#This Row],[_ShownFcstFinish]]&lt;=LookaheadEnd),Tasks[[#This Row],[_ShownFcstFinish]]+Tasks[[#This Row],[_Row]]/100000,"")</f>
        <v/>
      </c>
      <c r="EQ149" s="41" t="str">
        <f aca="false">IF(Tasks[[#This Row],[_LeafCritical]],Tasks[[#This Row],[_ShownFcstStart]]+Tasks[[#This Row],[_Row]]/100000,"")</f>
        <v/>
      </c>
      <c r="ER149" s="41" t="n">
        <f aca="false">Tasks[[#This Row],[_LeafWork]]*Tasks[[#This Row],[_LeafProgress]]</f>
        <v>0</v>
      </c>
      <c r="ES149" s="101" t="str">
        <f aca="false">IF(AND(Tasks[[#This Row],[_IsLeaf]]=1,Tasks[[#This Row],[_LeafProgress]]&gt;=1),IF(N(Tasks[[#This Row],[Actual Finish]])&gt;0,Tasks[[#This Row],[Actual Finish]],Tasks[[#This Row],[_ShownFcstFinish]]),"")</f>
        <v/>
      </c>
      <c r="ET149" s="41" t="n">
        <f aca="false">IF(Tasks[[#This Row],[_IsLeaf]]=1,N(Tasks[[#This Row],[Story Points]]),0)</f>
        <v>0</v>
      </c>
      <c r="EU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29"/>
      <c r="O150" s="29"/>
      <c r="P150" s="29"/>
      <c r="Q150" s="29"/>
      <c r="R150" s="29"/>
      <c r="S150" s="29"/>
      <c r="T150" s="30"/>
      <c r="U150" s="75"/>
      <c r="V150" s="75"/>
      <c r="W150" s="25" t="str">
        <f aca="false">IF(Tasks[[#This Row],[Task Name]]="","",IF(N(Tasks[[#This Row],[Baseline Start]])&gt;0,Tasks[[#This Row],[Baseline Start]],Tasks[[#This Row],[_CalcStart]]))</f>
        <v/>
      </c>
      <c r="X150" s="25" t="str">
        <f aca="false">IF(Tasks[[#This Row],[Task Name]]="","",IF(N(Tasks[[#This Row],[Baseline Finish]])&gt;0,Tasks[[#This Row],[Baseline Finish]],Tasks[[#This Row],[_CalcFinish]]))</f>
        <v/>
      </c>
      <c r="Y150" s="75"/>
      <c r="Z150" s="75"/>
      <c r="AA150" s="25" t="str">
        <f aca="false">IF(Tasks[[#This Row],[Task Name]]="","",IF(Tasks[[#This Row],[_IsSummary]],MIN(INDEX(Tasks[_ShownFcstStart],Tasks[[#This Row],[_Row]]+1):INDEX(Tasks[_ShownFcstStart],Tasks[[#This Row],[_Row]]+Tasks[[#This Row],[_Descendants]])),Tasks[[#This Row],[_ShownFcstStart]]))</f>
        <v/>
      </c>
      <c r="AB150" s="25" t="str">
        <f aca="false">IF(Tasks[[#This Row],[Task Name]]="","",IF(Tasks[[#This Row],[_IsSummary]],MAX(INDEX(Tasks[_ShownFcstFinish],Tasks[[#This Row],[_Row]]+1):INDEX(Tasks[_ShownFcstFinish],Tasks[[#This Row],[_Row]]+Tasks[[#This Row],[_Descendants]])),Tasks[[#This Row],[_ShownFcstFinish]]))</f>
        <v/>
      </c>
      <c r="AC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0" s="25" t="str">
        <f aca="false">IF(Tasks[[#This Row],[Task Name]]="","",IF(Tasks[[#This Row],[_IsSummary]],MIN(INDEX(Tasks[_LeafLateStart],Tasks[[#This Row],[_Row]]+1):INDEX(Tasks[_LeafLateStart],Tasks[[#This Row],[_Row]]+Tasks[[#This Row],[_Descendants]])),Tasks[[#This Row],[_LeafLateStart]]))</f>
        <v/>
      </c>
      <c r="AF150" s="25" t="str">
        <f aca="false">IF(Tasks[[#This Row],[Task Name]]="","",IF(Tasks[[#This Row],[_IsSummary]],MAX(INDEX(Tasks[_LeafLateFinish],Tasks[[#This Row],[_Row]]+1):INDEX(Tasks[_LeafLateFinish],Tasks[[#This Row],[_Row]]+Tasks[[#This Row],[_Descendants]])),Tasks[[#This Row],[_LeafLateFinish]]))</f>
        <v/>
      </c>
      <c r="AG150" s="28" t="str">
        <f aca="false">IF(Tasks[[#This Row],[Task Name]]="","",IF(Tasks[[#This Row],[_IsSummary]],MIN(INDEX(Tasks[_LeafTotalSlack],Tasks[[#This Row],[_Row]]+1):INDEX(Tasks[_LeafTotalSlack],Tasks[[#This Row],[_Row]]+Tasks[[#This Row],[_Descendants]])),Tasks[[#This Row],[_LeafTotalSlack]]))</f>
        <v/>
      </c>
      <c r="AH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0" s="28" t="str">
        <f aca="false">IF(Tasks[[#This Row],[Task Name]]="","",IF(IF(Tasks[[#This Row],[_IsSummary]],COUNTIF(INDEX(Tasks[_LeafCritical],Tasks[[#This Row],[_Row]]+1):INDEX(Tasks[_LeafCritical],Tasks[[#This Row],[_Row]]+Tasks[[#This Row],[_Descendants]]),TRUE())&gt;0,Tasks[[#This Row],[_LeafCritical]]),"Yes",""))</f>
        <v/>
      </c>
      <c r="AJ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0" s="89"/>
      <c r="AM1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0" s="28" t="str">
        <f aca="false">IF(Tasks[[#This Row],[Task Name]]="","",IF(Tasks[[#This Row],[Progress]]&gt;=1,"Complete",IF(OR(N(Tasks[[#This Row],[Actual Start]])&gt;0,Tasks[[#This Row],[Progress]]&gt;0),IF(Tasks[[#This Row],[Finish Var]]&gt;0,"Behind","In Progress"),IF(Tasks[[#This Row],[Planned Start]]&lt;StatusDate,"Late Start","Not Started"))))</f>
        <v/>
      </c>
      <c r="AO150" s="30"/>
      <c r="AP150" s="89"/>
      <c r="AQ1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0" s="96" t="str">
        <f aca="false">IF(Tasks[[#This Row],[Task Name]]="","",IF(Tasks[[#This Row],[_IsSummary]],SUM(INDEX(Tasks[_LeafTotalWork],Tasks[[#This Row],[_Row]]+1):INDEX(Tasks[_LeafTotalWork],Tasks[[#This Row],[_Row]]+Tasks[[#This Row],[_Descendants]])),Tasks[[#This Row],[_LeafTotalWork]]))</f>
        <v/>
      </c>
      <c r="AT150" s="97" t="str">
        <f aca="false">IF(Tasks[[#This Row],[Task Name]]="","",IF(Tasks[[#This Row],[_IsSummary]],SUM(INDEX(Tasks[_LeafTotalCost],Tasks[[#This Row],[_Row]]+1):INDEX(Tasks[_LeafTotalCost],Tasks[[#This Row],[_Row]]+Tasks[[#This Row],[_Descendants]])),Tasks[[#This Row],[_LeafTotalCost]]))</f>
        <v/>
      </c>
      <c r="AU150" s="98"/>
      <c r="AV150" s="29"/>
      <c r="AW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0" s="83"/>
      <c r="AY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0" s="30"/>
      <c r="BA150" s="25" t="str">
        <f aca="false">IF(Tasks[[#This Row],[Task Name]]="","",Tasks[[#This Row],[Forecast Start]])</f>
        <v/>
      </c>
      <c r="BB150" s="25" t="str">
        <f aca="false">IF(Tasks[[#This Row],[Task Name]]="","",Tasks[[#This Row],[Forecast Finish]])</f>
        <v/>
      </c>
      <c r="BC150" s="28" t="str">
        <f aca="false">IF(Tasks[[#This Row],[Task Name]]="","",IF(Tasks[[#This Row],[_IsSummary]],NETWORKDAYS.INTL(Tasks[[#This Row],[Forecast Start]],Tasks[[#This Row],[Forecast Finish]],WorkWeek,Holidays),N(Tasks[[#This Row],[Duration]])))</f>
        <v/>
      </c>
      <c r="BD150" s="96" t="str">
        <f aca="false">IF(Tasks[[#This Row],[Task Name]]="","",Tasks[[#This Row],[Work]])</f>
        <v/>
      </c>
      <c r="BE150" s="97" t="str">
        <f aca="false">IF(Tasks[[#This Row],[Task Name]]="","",Tasks[[#This Row],[Cost]])</f>
        <v/>
      </c>
      <c r="BF150" s="75"/>
      <c r="BG150" s="75"/>
      <c r="BH150" s="29"/>
      <c r="BI150" s="99"/>
      <c r="BJ150" s="98"/>
      <c r="BK150" s="28" t="str">
        <f aca="false">IF(OR(Tasks[[#This Row],[Task Name]]="",Tasks[[#This Row],[Baseline Duration]]=""),"",Tasks[[#This Row],[BL Source Duration]]-N(Tasks[[#This Row],[Baseline Duration]]))</f>
        <v/>
      </c>
      <c r="BL150" s="96" t="str">
        <f aca="false">IF(OR(Tasks[[#This Row],[Task Name]]="",Tasks[[#This Row],[Baseline Work]]=""),"",Tasks[[#This Row],[Work]]-N(Tasks[[#This Row],[Baseline Work]]))</f>
        <v/>
      </c>
      <c r="BM150" s="97" t="str">
        <f aca="false">IF(OR(Tasks[[#This Row],[Task Name]]="",Tasks[[#This Row],[Baseline Cost]]=""),"",Tasks[[#This Row],[Cost]]-N(Tasks[[#This Row],[Baseline Cost]]))</f>
        <v/>
      </c>
      <c r="BN150" s="97" t="str">
        <f aca="false">IF(Tasks[[#This Row],[Task Name]]="","",IF(Tasks[[#This Row],[_IsSummary]],SUM(INDEX(Tasks[_LeafBudget],Tasks[[#This Row],[_Row]]+1):INDEX(Tasks[_LeafBudget],Tasks[[#This Row],[_Row]]+Tasks[[#This Row],[_Descendants]])),Tasks[[#This Row],[_LeafBudget]]))</f>
        <v/>
      </c>
      <c r="BO150" s="97" t="str">
        <f aca="false">IF(Tasks[[#This Row],[Task Name]]="","",IF(Tasks[[#This Row],[_IsSummary]],SUM(INDEX(Tasks[_LeafPV],Tasks[[#This Row],[_Row]]+1):INDEX(Tasks[_LeafPV],Tasks[[#This Row],[_Row]]+Tasks[[#This Row],[_Descendants]])),Tasks[[#This Row],[_LeafPV]]))</f>
        <v/>
      </c>
      <c r="BP150" s="97" t="str">
        <f aca="false">IF(Tasks[[#This Row],[Task Name]]="","",IF(Tasks[[#This Row],[_IsSummary]],SUM(INDEX(Tasks[_LeafEV],Tasks[[#This Row],[_Row]]+1):INDEX(Tasks[_LeafEV],Tasks[[#This Row],[_Row]]+Tasks[[#This Row],[_Descendants]])),Tasks[[#This Row],[_LeafEV]]))</f>
        <v/>
      </c>
      <c r="BQ150" s="97" t="str">
        <f aca="false">IF(Tasks[[#This Row],[Task Name]]="","",IF(Tasks[[#This Row],[_IsSummary]],SUM(INDEX(Tasks[_LeafAC],Tasks[[#This Row],[_Row]]+1):INDEX(Tasks[_LeafAC],Tasks[[#This Row],[_Row]]+Tasks[[#This Row],[_Descendants]])),Tasks[[#This Row],[_LeafAC]]))</f>
        <v/>
      </c>
      <c r="BR150" s="41" t="str">
        <f aca="false">IF(Tasks[[#This Row],[Task Name]]="","",MAX(1,N(Tasks[[#This Row],[Level]])))</f>
        <v/>
      </c>
      <c r="BS150" s="41" t="n">
        <f aca="false">ROW()-ROW(Tasks[[#Headers],[ID]])</f>
        <v>145</v>
      </c>
      <c r="BT150" s="41" t="n">
        <f aca="false">IF(OR(Tasks[[#This Row],[Task Name]]="",Tasks[[#This Row],[_Level]]&lt;=1),0,IFERROR(LOOKUP(2,1/(Tasks[[#Headers],[_Level]]:Tasks[[#This Row],[_Level]]=Tasks[[#This Row],[_Level]]-1),ROW(Tasks[[#Headers],[_Level]]:Tasks[[#This Row],[_Level]])),0))</f>
        <v>0</v>
      </c>
      <c r="BU150" s="41" t="n">
        <f aca="false">IFERROR(N(INDEX(Tasks[_Level],Tasks[[#This Row],[_Row]]+1)),0)</f>
        <v>0</v>
      </c>
      <c r="BV150" s="100" t="b">
        <f aca="false">AND(Tasks[[#This Row],[Task Name]]&lt;&gt;"",Tasks[[#This Row],[_NextLevel]]&gt;Tasks[[#This Row],[_Level]])</f>
        <v>0</v>
      </c>
      <c r="BW150" s="41" t="n">
        <f aca="false">IF(Tasks[[#This Row],[_IsSummary]],COUNTIF(Tasks[WBS],Tasks[[#This Row],[WBS]]&amp;".*"),0)</f>
        <v>0</v>
      </c>
      <c r="BX150" s="41" t="n">
        <f aca="false">IF(AND(Tasks[[#This Row],[Task Name]]&lt;&gt;"",NOT(Tasks[[#This Row],[_IsSummary]])),1,0)</f>
        <v>0</v>
      </c>
      <c r="BY150" s="41" t="n">
        <f aca="false">IF(N(Tasks[[#This Row],[Pred1 UID]])=0,0,IFERROR(MATCH(Tasks[[#This Row],[Pred1 UID]],Tasks[UID],0),-1))</f>
        <v>0</v>
      </c>
      <c r="BZ150" s="41" t="n">
        <f aca="false">IF(N(Tasks[[#This Row],[Pred2 UID]])=0,0,IFERROR(MATCH(Tasks[[#This Row],[Pred2 UID]],Tasks[UID],0),-1))</f>
        <v>0</v>
      </c>
      <c r="CA150" s="41" t="n">
        <f aca="false">IF(N(Tasks[[#This Row],[Pred3 UID]])=0,0,IFERROR(MATCH(Tasks[[#This Row],[Pred3 UID]],Tasks[UID],0),-1))</f>
        <v>0</v>
      </c>
      <c r="CB150" s="41" t="n">
        <f aca="false">IF(N(Tasks[[#This Row],[Pred4 UID]])=0,0,IFERROR(MATCH(Tasks[[#This Row],[Pred4 UID]],Tasks[UID],0),-1))</f>
        <v>0</v>
      </c>
      <c r="CC1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0" s="101" t="n">
        <f aca="false">IF(OR(Tasks[[#This Row],[_ConstraintCode]]=2,Tasks[[#This Row],[_ConstraintCode]]=3,Tasks[[#This Row],[_ConstraintCode]]=4,Tasks[[#This Row],[_ConstraintCode]]=6),Tasks[[#This Row],[_ConstraintStart]],0)</f>
        <v>0</v>
      </c>
      <c r="CF150" s="101" t="n">
        <f aca="false">IF(OR(Tasks[[#This Row],[_ConstraintCode]]=2,Tasks[[#This Row],[_ConstraintCode]]=3,Tasks[[#This Row],[_ConstraintCode]]=5,Tasks[[#This Row],[_ConstraintCode]]=7),Tasks[[#This Row],[_ConstraintStart]],2958465)</f>
        <v>2958465</v>
      </c>
      <c r="CG15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0" s="101" t="str">
        <f aca="false">IF(NOT(Tasks[[#This Row],[_IsLeaf]]=1),"",IF(N(Tasks[[#This Row],[Duration]])&lt;=0,Tasks[[#This Row],[_LeafCalcStart]],WORKDAY.INTL(Tasks[[#This Row],[_LeafCalcStart]],Tasks[[#This Row],[Duration]]-1,WorkWeek,Holidays)))</f>
        <v/>
      </c>
      <c r="CI15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0" s="41" t="n">
        <f aca="false">IF(NOT(Tasks[[#This Row],[_IsLeaf]]=1),0,IF(N(Tasks[[#This Row],[Actual Finish]])&gt;0,1,MIN(1,N(Tasks[[#This Row],[% Complete]]))))</f>
        <v>0</v>
      </c>
      <c r="CL150" s="41" t="n">
        <f aca="false">IF(OR(NOT(Tasks[[#This Row],[_IsLeaf]]=1),Tasks[[#This Row],[Resource]]=""),0,N(Tasks[[#This Row],[Duration]])*HoursPerDay*IF(Tasks[[#This Row],[Units]]="",DefaultUnits,Tasks[[#This Row],[Units]]))</f>
        <v>0</v>
      </c>
      <c r="CM150" s="41" t="n">
        <f aca="false">IF(Tasks[[#This Row],[_LeafWork]]=0,0,Tasks[[#This Row],[_LeafWork]]*IFERROR(INDEX(res_Rate,MATCH(Tasks[[#This Row],[Resource]],res_Name,0)),0))</f>
        <v>0</v>
      </c>
      <c r="CN150" s="41" t="n">
        <f aca="false">Tasks[[#This Row],[_LeafWork]]+IF(Tasks[[#This Row],[_IsLeaf]]=1,SUMIFS(asg_Work,asg_TaskUID,Tasks[[#This Row],[UID]],asg_Valid,1),0)</f>
        <v>0</v>
      </c>
      <c r="CO150" s="41" t="n">
        <f aca="false">Tasks[[#This Row],[_LeafCost]]+IF(Tasks[[#This Row],[_IsLeaf]]=1,SUMIFS(asg_Cost,asg_TaskUID,Tasks[[#This Row],[UID]],asg_Valid,1),0)</f>
        <v>0</v>
      </c>
      <c r="CP150" s="41" t="n">
        <f aca="false">IF(Tasks[[#This Row],[_LeafTotalCost]]=0,Tasks[[#This Row],[_LeafAC]],Tasks[[#This Row],[_LeafAC]]*Tasks[[#This Row],[_LeafCost]]/Tasks[[#This Row],[_LeafTotalCost]])</f>
        <v>0</v>
      </c>
      <c r="CQ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0" s="41" t="n">
        <f aca="false">IF(NOT(Tasks[[#This Row],[_IsLeaf]]=1),0,MAX(_xlfn.MAXIFS(Tasks[_Row],Tasks[Pred1 UID],Tasks[[#This Row],[UID]]),_xlfn.MAXIFS(Tasks[_Row],Tasks[Pred2 UID],Tasks[[#This Row],[UID]]),_xlfn.MAXIFS(Tasks[_Row],Tasks[Pred3 UID],Tasks[[#This Row],[UID]]),_xlfn.MAXIFS(Tasks[_Row],Tasks[Pred4 UID],Tasks[[#This Row],[UID]])))</f>
        <v>0</v>
      </c>
      <c r="CZ1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0" s="101" t="str">
        <f aca="false">IF(NOT(Tasks[[#This Row],[_IsLeaf]]=1),"",IF(N(Tasks[[#This Row],[Duration]])&lt;=0,Tasks[[#This Row],[_LeafLateFinish]],WORKDAY.INTL(Tasks[[#This Row],[_LeafLateFinish]],-(Tasks[[#This Row],[Duration]]-1),WorkWeek,Holidays)))</f>
        <v/>
      </c>
      <c r="DC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0" s="100" t="b">
        <f aca="false">AND(Tasks[[#This Row],[_IsLeaf]]=1,Tasks[[#This Row],[_LeafProgress]]&lt;1,N(Tasks[[#This Row],[_LeafTotalSlack]])&lt;=CriticalSlackDays)</f>
        <v>0</v>
      </c>
      <c r="DE150" s="41" t="n">
        <f aca="false">IF(AND(Tasks[[#This Row],[_IsLeaf]]=1,Tasks[[#This Row],[_ConstraintCode]]=1,Tasks[[#This Row],[Mode]]&lt;&gt;"Manual",N(Tasks[[#This Row],[Actual Start]])=0),MAX(0,N(Tasks[[#This Row],[Free Slack]])),0)</f>
        <v>0</v>
      </c>
      <c r="DF150" s="101" t="str">
        <f aca="false">IF(NOT(Tasks[[#This Row],[_IsLeaf]]=1),"",IF(Tasks[[#This Row],[_AlapShift]]=0,Tasks[[#This Row],[_LeafCalcStart]],WORKDAY.INTL(Tasks[[#This Row],[_LeafCalcStart]],Tasks[[#This Row],[_AlapShift]],WorkWeek,Holidays)))</f>
        <v/>
      </c>
      <c r="DG150" s="101" t="str">
        <f aca="false">IF(NOT(Tasks[[#This Row],[_IsLeaf]]=1),"",IF(Tasks[[#This Row],[_AlapShift]]=0,Tasks[[#This Row],[_LeafCalcFinish]],WORKDAY.INTL(Tasks[[#This Row],[_LeafCalcFinish]],Tasks[[#This Row],[_AlapShift]],WorkWeek,Holidays)))</f>
        <v/>
      </c>
      <c r="DH150" s="101" t="str">
        <f aca="false">IF(NOT(Tasks[[#This Row],[_IsLeaf]]=1),"",IF(Tasks[[#This Row],[_AlapShift]]=0,Tasks[[#This Row],[_LeafFcstStart]],WORKDAY.INTL(Tasks[[#This Row],[_LeafFcstStart]],Tasks[[#This Row],[_AlapShift]],WorkWeek,Holidays)))</f>
        <v/>
      </c>
      <c r="DI150" s="101" t="str">
        <f aca="false">IF(NOT(Tasks[[#This Row],[_IsLeaf]]=1),"",IF(Tasks[[#This Row],[_AlapShift]]=0,Tasks[[#This Row],[_LeafFcstFinish]],WORKDAY.INTL(Tasks[[#This Row],[_LeafFcstFinish]],Tasks[[#This Row],[_AlapShift]],WorkWeek,Holidays)))</f>
        <v/>
      </c>
      <c r="DJ150" s="101" t="str">
        <f aca="false">IF(Tasks[[#This Row],[Task Name]]="","",IF(Tasks[[#This Row],[_IsSummary]],MIN(INDEX(Tasks[_ShownCalcStart],Tasks[[#This Row],[_Row]]+1):INDEX(Tasks[_ShownCalcStart],Tasks[[#This Row],[_Row]]+Tasks[[#This Row],[_Descendants]])),Tasks[[#This Row],[_ShownCalcStart]]))</f>
        <v/>
      </c>
      <c r="DK150" s="101" t="str">
        <f aca="false">IF(Tasks[[#This Row],[Task Name]]="","",IF(Tasks[[#This Row],[_IsSummary]],MAX(INDEX(Tasks[_ShownCalcFinish],Tasks[[#This Row],[_Row]]+1):INDEX(Tasks[_ShownCalcFinish],Tasks[[#This Row],[_Row]]+Tasks[[#This Row],[_Descendants]])),Tasks[[#This Row],[_ShownCalcFinish]]))</f>
        <v/>
      </c>
      <c r="D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0" s="41" t="n">
        <f aca="false">IF(AND(Tasks[[#This Row],[_IsLeaf]]=1,Tasks[[#This Row],[_LeafTotalWork]]&gt;0),NETWORKDAYS.INTL(ProjectStart,Tasks[[#This Row],[_ShownFcstStart]],WorkWeek,Holidays),0)</f>
        <v>0</v>
      </c>
      <c r="DY150" s="41" t="n">
        <f aca="false">IF(AND(Tasks[[#This Row],[_IsLeaf]]=1,Tasks[[#This Row],[_LeafTotalWork]]&gt;0),MAX(Tasks[[#This Row],[_StartWorkday]],NETWORKDAYS.INTL(ProjectStart,Tasks[[#This Row],[_ShownFcstFinish]],WorkWeek,Holidays)),0)</f>
        <v>0</v>
      </c>
      <c r="DZ150" s="41" t="n">
        <f aca="false">IF(AND(Tasks[[#This Row],[_IsLeaf]]=1,Tasks[[#This Row],[_LeafTotalWork]]&gt;0),Tasks[[#This Row],[_LeafWork]]/(Tasks[[#This Row],[_FinishWorkday]]-Tasks[[#This Row],[_StartWorkday]]+1),0)</f>
        <v>0</v>
      </c>
      <c r="EA150" s="41" t="n">
        <f aca="false">Tasks[[#This Row],[_WorkPerWorkday]]*(Tasks[[#This Row],[_StartWorkday]]-1)</f>
        <v>-0</v>
      </c>
      <c r="EB150" s="41" t="n">
        <f aca="false">IF(Tasks[[#This Row],[_IsLeaf]]=1,MAX(N(Tasks[[#This Row],[Duration]]),0.1),0)</f>
        <v>0</v>
      </c>
      <c r="EC150" s="41" t="n">
        <f aca="false">Tasks[[#This Row],[_WeightDur]]*Tasks[[#This Row],[_LeafProgress]]</f>
        <v>0</v>
      </c>
      <c r="ED1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0" s="41" t="str">
        <f aca="false">IF(AND(Tasks[[#This Row],[_IsLeaf]]=1,N(Tasks[[#This Row],[Duration]])=0,Tasks[[#This Row],[_LeafProgress]]&lt;1),Tasks[[#This Row],[_ShownFcstFinish]]+Tasks[[#This Row],[_Row]]/100000,"")</f>
        <v/>
      </c>
      <c r="EF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0" s="41" t="n">
        <f aca="false">IF(NOT(Tasks[[#This Row],[_IsLeaf]]=1),0,IF(Tasks[[#This Row],[Baseline Cost]]="",Tasks[[#This Row],[_LeafTotalCost]],N(Tasks[[#This Row],[Baseline Cost]])))</f>
        <v>0</v>
      </c>
      <c r="EH150" s="41" t="n">
        <f aca="false">Tasks[[#This Row],[_LeafBudget]]*Tasks[[#This Row],[_PlannedPct]]</f>
        <v>0</v>
      </c>
      <c r="EI150" s="41" t="n">
        <f aca="false">Tasks[[#This Row],[_LeafBudget]]*Tasks[[#This Row],[_LeafProgress]]</f>
        <v>0</v>
      </c>
      <c r="EJ150" s="41" t="n">
        <f aca="false">IF(NOT(Tasks[[#This Row],[_IsLeaf]]=1),0,IF(Tasks[[#This Row],[Actual Cost]]="",Tasks[[#This Row],[_LeafTotalCost]]*Tasks[[#This Row],[_LeafProgress]],N(Tasks[[#This Row],[Actual Cost]])))</f>
        <v>0</v>
      </c>
      <c r="EK150" s="41" t="str">
        <f aca="false">IF(Tasks[[#This Row],[Task Name]]="","",LEFT(Tasks[[#This Row],[WBS]],FIND(".",Tasks[[#This Row],[WBS]]&amp;".")-1))</f>
        <v/>
      </c>
      <c r="EL150" s="41" t="str">
        <f aca="false">IF(AND(Tasks[[#This Row],[Task Name]]&lt;&gt;"",Tasks[[#This Row],[_Level]]=1),Tasks[[#This Row],[_Row]],"")</f>
        <v/>
      </c>
      <c r="EM150" s="41" t="str">
        <f aca="false">IF(AND(Tasks[[#This Row],[_IsLeaf]]=1,N(Tasks[[#This Row],[Duration]])=0),Tasks[[#This Row],[Planned Finish]]+Tasks[[#This Row],[_Row]]/100000,"")</f>
        <v/>
      </c>
      <c r="EN150" s="41" t="str">
        <f aca="false">IF(AND(Tasks[[#This Row],[_IsLeaf]]=1,Tasks[[#This Row],[_LeafProgress]]&lt;1,OR(N(Tasks[[#This Row],[Finish Var]])&gt;0,Tasks[[#This Row],[Status]]="Late Start")),MAX(0,Tasks[[#This Row],[Finish Var]])+1-Tasks[[#This Row],[_Row]]/1000000,"")</f>
        <v/>
      </c>
      <c r="EO150" s="41" t="str">
        <f aca="false">IF(AND(Tasks[[#This Row],[_IsLeaf]]=1,N(Tasks[[#This Row],[Actual Start]])=0,Tasks[[#This Row],[_ShownFcstStart]]&gt;=StatusDate,Tasks[[#This Row],[_ShownFcstStart]]&lt;=LookaheadEnd),Tasks[[#This Row],[_ShownFcstStart]]+Tasks[[#This Row],[_Row]]/100000,"")</f>
        <v/>
      </c>
      <c r="EP150" s="41" t="str">
        <f aca="false">IF(AND(Tasks[[#This Row],[_IsLeaf]]=1,Tasks[[#This Row],[_LeafProgress]]&lt;1,Tasks[[#This Row],[_ShownFcstFinish]]&gt;=StatusDate,Tasks[[#This Row],[_ShownFcstFinish]]&lt;=LookaheadEnd),Tasks[[#This Row],[_ShownFcstFinish]]+Tasks[[#This Row],[_Row]]/100000,"")</f>
        <v/>
      </c>
      <c r="EQ150" s="41" t="str">
        <f aca="false">IF(Tasks[[#This Row],[_LeafCritical]],Tasks[[#This Row],[_ShownFcstStart]]+Tasks[[#This Row],[_Row]]/100000,"")</f>
        <v/>
      </c>
      <c r="ER150" s="41" t="n">
        <f aca="false">Tasks[[#This Row],[_LeafWork]]*Tasks[[#This Row],[_LeafProgress]]</f>
        <v>0</v>
      </c>
      <c r="ES150" s="101" t="str">
        <f aca="false">IF(AND(Tasks[[#This Row],[_IsLeaf]]=1,Tasks[[#This Row],[_LeafProgress]]&gt;=1),IF(N(Tasks[[#This Row],[Actual Finish]])&gt;0,Tasks[[#This Row],[Actual Finish]],Tasks[[#This Row],[_ShownFcstFinish]]),"")</f>
        <v/>
      </c>
      <c r="ET150" s="41" t="n">
        <f aca="false">IF(Tasks[[#This Row],[_IsLeaf]]=1,N(Tasks[[#This Row],[Story Points]]),0)</f>
        <v>0</v>
      </c>
      <c r="EU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29"/>
      <c r="O151" s="29"/>
      <c r="P151" s="29"/>
      <c r="Q151" s="29"/>
      <c r="R151" s="29"/>
      <c r="S151" s="29"/>
      <c r="T151" s="30"/>
      <c r="U151" s="75"/>
      <c r="V151" s="75"/>
      <c r="W151" s="25" t="str">
        <f aca="false">IF(Tasks[[#This Row],[Task Name]]="","",IF(N(Tasks[[#This Row],[Baseline Start]])&gt;0,Tasks[[#This Row],[Baseline Start]],Tasks[[#This Row],[_CalcStart]]))</f>
        <v/>
      </c>
      <c r="X151" s="25" t="str">
        <f aca="false">IF(Tasks[[#This Row],[Task Name]]="","",IF(N(Tasks[[#This Row],[Baseline Finish]])&gt;0,Tasks[[#This Row],[Baseline Finish]],Tasks[[#This Row],[_CalcFinish]]))</f>
        <v/>
      </c>
      <c r="Y151" s="75"/>
      <c r="Z151" s="75"/>
      <c r="AA151" s="25" t="str">
        <f aca="false">IF(Tasks[[#This Row],[Task Name]]="","",IF(Tasks[[#This Row],[_IsSummary]],MIN(INDEX(Tasks[_ShownFcstStart],Tasks[[#This Row],[_Row]]+1):INDEX(Tasks[_ShownFcstStart],Tasks[[#This Row],[_Row]]+Tasks[[#This Row],[_Descendants]])),Tasks[[#This Row],[_ShownFcstStart]]))</f>
        <v/>
      </c>
      <c r="AB151" s="25" t="str">
        <f aca="false">IF(Tasks[[#This Row],[Task Name]]="","",IF(Tasks[[#This Row],[_IsSummary]],MAX(INDEX(Tasks[_ShownFcstFinish],Tasks[[#This Row],[_Row]]+1):INDEX(Tasks[_ShownFcstFinish],Tasks[[#This Row],[_Row]]+Tasks[[#This Row],[_Descendants]])),Tasks[[#This Row],[_ShownFcstFinish]]))</f>
        <v/>
      </c>
      <c r="AC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1" s="25" t="str">
        <f aca="false">IF(Tasks[[#This Row],[Task Name]]="","",IF(Tasks[[#This Row],[_IsSummary]],MIN(INDEX(Tasks[_LeafLateStart],Tasks[[#This Row],[_Row]]+1):INDEX(Tasks[_LeafLateStart],Tasks[[#This Row],[_Row]]+Tasks[[#This Row],[_Descendants]])),Tasks[[#This Row],[_LeafLateStart]]))</f>
        <v/>
      </c>
      <c r="AF151" s="25" t="str">
        <f aca="false">IF(Tasks[[#This Row],[Task Name]]="","",IF(Tasks[[#This Row],[_IsSummary]],MAX(INDEX(Tasks[_LeafLateFinish],Tasks[[#This Row],[_Row]]+1):INDEX(Tasks[_LeafLateFinish],Tasks[[#This Row],[_Row]]+Tasks[[#This Row],[_Descendants]])),Tasks[[#This Row],[_LeafLateFinish]]))</f>
        <v/>
      </c>
      <c r="AG151" s="28" t="str">
        <f aca="false">IF(Tasks[[#This Row],[Task Name]]="","",IF(Tasks[[#This Row],[_IsSummary]],MIN(INDEX(Tasks[_LeafTotalSlack],Tasks[[#This Row],[_Row]]+1):INDEX(Tasks[_LeafTotalSlack],Tasks[[#This Row],[_Row]]+Tasks[[#This Row],[_Descendants]])),Tasks[[#This Row],[_LeafTotalSlack]]))</f>
        <v/>
      </c>
      <c r="AH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1" s="28" t="str">
        <f aca="false">IF(Tasks[[#This Row],[Task Name]]="","",IF(IF(Tasks[[#This Row],[_IsSummary]],COUNTIF(INDEX(Tasks[_LeafCritical],Tasks[[#This Row],[_Row]]+1):INDEX(Tasks[_LeafCritical],Tasks[[#This Row],[_Row]]+Tasks[[#This Row],[_Descendants]]),TRUE())&gt;0,Tasks[[#This Row],[_LeafCritical]]),"Yes",""))</f>
        <v/>
      </c>
      <c r="AJ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1" s="89"/>
      <c r="AM1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1" s="28" t="str">
        <f aca="false">IF(Tasks[[#This Row],[Task Name]]="","",IF(Tasks[[#This Row],[Progress]]&gt;=1,"Complete",IF(OR(N(Tasks[[#This Row],[Actual Start]])&gt;0,Tasks[[#This Row],[Progress]]&gt;0),IF(Tasks[[#This Row],[Finish Var]]&gt;0,"Behind","In Progress"),IF(Tasks[[#This Row],[Planned Start]]&lt;StatusDate,"Late Start","Not Started"))))</f>
        <v/>
      </c>
      <c r="AO151" s="30"/>
      <c r="AP151" s="89"/>
      <c r="AQ1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1" s="96" t="str">
        <f aca="false">IF(Tasks[[#This Row],[Task Name]]="","",IF(Tasks[[#This Row],[_IsSummary]],SUM(INDEX(Tasks[_LeafTotalWork],Tasks[[#This Row],[_Row]]+1):INDEX(Tasks[_LeafTotalWork],Tasks[[#This Row],[_Row]]+Tasks[[#This Row],[_Descendants]])),Tasks[[#This Row],[_LeafTotalWork]]))</f>
        <v/>
      </c>
      <c r="AT151" s="97" t="str">
        <f aca="false">IF(Tasks[[#This Row],[Task Name]]="","",IF(Tasks[[#This Row],[_IsSummary]],SUM(INDEX(Tasks[_LeafTotalCost],Tasks[[#This Row],[_Row]]+1):INDEX(Tasks[_LeafTotalCost],Tasks[[#This Row],[_Row]]+Tasks[[#This Row],[_Descendants]])),Tasks[[#This Row],[_LeafTotalCost]]))</f>
        <v/>
      </c>
      <c r="AU151" s="98"/>
      <c r="AV151" s="29"/>
      <c r="AW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1" s="83"/>
      <c r="AY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1" s="30"/>
      <c r="BA151" s="25" t="str">
        <f aca="false">IF(Tasks[[#This Row],[Task Name]]="","",Tasks[[#This Row],[Forecast Start]])</f>
        <v/>
      </c>
      <c r="BB151" s="25" t="str">
        <f aca="false">IF(Tasks[[#This Row],[Task Name]]="","",Tasks[[#This Row],[Forecast Finish]])</f>
        <v/>
      </c>
      <c r="BC151" s="28" t="str">
        <f aca="false">IF(Tasks[[#This Row],[Task Name]]="","",IF(Tasks[[#This Row],[_IsSummary]],NETWORKDAYS.INTL(Tasks[[#This Row],[Forecast Start]],Tasks[[#This Row],[Forecast Finish]],WorkWeek,Holidays),N(Tasks[[#This Row],[Duration]])))</f>
        <v/>
      </c>
      <c r="BD151" s="96" t="str">
        <f aca="false">IF(Tasks[[#This Row],[Task Name]]="","",Tasks[[#This Row],[Work]])</f>
        <v/>
      </c>
      <c r="BE151" s="97" t="str">
        <f aca="false">IF(Tasks[[#This Row],[Task Name]]="","",Tasks[[#This Row],[Cost]])</f>
        <v/>
      </c>
      <c r="BF151" s="75"/>
      <c r="BG151" s="75"/>
      <c r="BH151" s="29"/>
      <c r="BI151" s="99"/>
      <c r="BJ151" s="98"/>
      <c r="BK151" s="28" t="str">
        <f aca="false">IF(OR(Tasks[[#This Row],[Task Name]]="",Tasks[[#This Row],[Baseline Duration]]=""),"",Tasks[[#This Row],[BL Source Duration]]-N(Tasks[[#This Row],[Baseline Duration]]))</f>
        <v/>
      </c>
      <c r="BL151" s="96" t="str">
        <f aca="false">IF(OR(Tasks[[#This Row],[Task Name]]="",Tasks[[#This Row],[Baseline Work]]=""),"",Tasks[[#This Row],[Work]]-N(Tasks[[#This Row],[Baseline Work]]))</f>
        <v/>
      </c>
      <c r="BM151" s="97" t="str">
        <f aca="false">IF(OR(Tasks[[#This Row],[Task Name]]="",Tasks[[#This Row],[Baseline Cost]]=""),"",Tasks[[#This Row],[Cost]]-N(Tasks[[#This Row],[Baseline Cost]]))</f>
        <v/>
      </c>
      <c r="BN151" s="97" t="str">
        <f aca="false">IF(Tasks[[#This Row],[Task Name]]="","",IF(Tasks[[#This Row],[_IsSummary]],SUM(INDEX(Tasks[_LeafBudget],Tasks[[#This Row],[_Row]]+1):INDEX(Tasks[_LeafBudget],Tasks[[#This Row],[_Row]]+Tasks[[#This Row],[_Descendants]])),Tasks[[#This Row],[_LeafBudget]]))</f>
        <v/>
      </c>
      <c r="BO151" s="97" t="str">
        <f aca="false">IF(Tasks[[#This Row],[Task Name]]="","",IF(Tasks[[#This Row],[_IsSummary]],SUM(INDEX(Tasks[_LeafPV],Tasks[[#This Row],[_Row]]+1):INDEX(Tasks[_LeafPV],Tasks[[#This Row],[_Row]]+Tasks[[#This Row],[_Descendants]])),Tasks[[#This Row],[_LeafPV]]))</f>
        <v/>
      </c>
      <c r="BP151" s="97" t="str">
        <f aca="false">IF(Tasks[[#This Row],[Task Name]]="","",IF(Tasks[[#This Row],[_IsSummary]],SUM(INDEX(Tasks[_LeafEV],Tasks[[#This Row],[_Row]]+1):INDEX(Tasks[_LeafEV],Tasks[[#This Row],[_Row]]+Tasks[[#This Row],[_Descendants]])),Tasks[[#This Row],[_LeafEV]]))</f>
        <v/>
      </c>
      <c r="BQ151" s="97" t="str">
        <f aca="false">IF(Tasks[[#This Row],[Task Name]]="","",IF(Tasks[[#This Row],[_IsSummary]],SUM(INDEX(Tasks[_LeafAC],Tasks[[#This Row],[_Row]]+1):INDEX(Tasks[_LeafAC],Tasks[[#This Row],[_Row]]+Tasks[[#This Row],[_Descendants]])),Tasks[[#This Row],[_LeafAC]]))</f>
        <v/>
      </c>
      <c r="BR151" s="41" t="str">
        <f aca="false">IF(Tasks[[#This Row],[Task Name]]="","",MAX(1,N(Tasks[[#This Row],[Level]])))</f>
        <v/>
      </c>
      <c r="BS151" s="41" t="n">
        <f aca="false">ROW()-ROW(Tasks[[#Headers],[ID]])</f>
        <v>146</v>
      </c>
      <c r="BT151" s="41" t="n">
        <f aca="false">IF(OR(Tasks[[#This Row],[Task Name]]="",Tasks[[#This Row],[_Level]]&lt;=1),0,IFERROR(LOOKUP(2,1/(Tasks[[#Headers],[_Level]]:Tasks[[#This Row],[_Level]]=Tasks[[#This Row],[_Level]]-1),ROW(Tasks[[#Headers],[_Level]]:Tasks[[#This Row],[_Level]])),0))</f>
        <v>0</v>
      </c>
      <c r="BU151" s="41" t="n">
        <f aca="false">IFERROR(N(INDEX(Tasks[_Level],Tasks[[#This Row],[_Row]]+1)),0)</f>
        <v>0</v>
      </c>
      <c r="BV151" s="100" t="b">
        <f aca="false">AND(Tasks[[#This Row],[Task Name]]&lt;&gt;"",Tasks[[#This Row],[_NextLevel]]&gt;Tasks[[#This Row],[_Level]])</f>
        <v>0</v>
      </c>
      <c r="BW151" s="41" t="n">
        <f aca="false">IF(Tasks[[#This Row],[_IsSummary]],COUNTIF(Tasks[WBS],Tasks[[#This Row],[WBS]]&amp;".*"),0)</f>
        <v>0</v>
      </c>
      <c r="BX151" s="41" t="n">
        <f aca="false">IF(AND(Tasks[[#This Row],[Task Name]]&lt;&gt;"",NOT(Tasks[[#This Row],[_IsSummary]])),1,0)</f>
        <v>0</v>
      </c>
      <c r="BY151" s="41" t="n">
        <f aca="false">IF(N(Tasks[[#This Row],[Pred1 UID]])=0,0,IFERROR(MATCH(Tasks[[#This Row],[Pred1 UID]],Tasks[UID],0),-1))</f>
        <v>0</v>
      </c>
      <c r="BZ151" s="41" t="n">
        <f aca="false">IF(N(Tasks[[#This Row],[Pred2 UID]])=0,0,IFERROR(MATCH(Tasks[[#This Row],[Pred2 UID]],Tasks[UID],0),-1))</f>
        <v>0</v>
      </c>
      <c r="CA151" s="41" t="n">
        <f aca="false">IF(N(Tasks[[#This Row],[Pred3 UID]])=0,0,IFERROR(MATCH(Tasks[[#This Row],[Pred3 UID]],Tasks[UID],0),-1))</f>
        <v>0</v>
      </c>
      <c r="CB151" s="41" t="n">
        <f aca="false">IF(N(Tasks[[#This Row],[Pred4 UID]])=0,0,IFERROR(MATCH(Tasks[[#This Row],[Pred4 UID]],Tasks[UID],0),-1))</f>
        <v>0</v>
      </c>
      <c r="CC1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1" s="101" t="n">
        <f aca="false">IF(OR(Tasks[[#This Row],[_ConstraintCode]]=2,Tasks[[#This Row],[_ConstraintCode]]=3,Tasks[[#This Row],[_ConstraintCode]]=4,Tasks[[#This Row],[_ConstraintCode]]=6),Tasks[[#This Row],[_ConstraintStart]],0)</f>
        <v>0</v>
      </c>
      <c r="CF151" s="101" t="n">
        <f aca="false">IF(OR(Tasks[[#This Row],[_ConstraintCode]]=2,Tasks[[#This Row],[_ConstraintCode]]=3,Tasks[[#This Row],[_ConstraintCode]]=5,Tasks[[#This Row],[_ConstraintCode]]=7),Tasks[[#This Row],[_ConstraintStart]],2958465)</f>
        <v>2958465</v>
      </c>
      <c r="CG15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1" s="101" t="str">
        <f aca="false">IF(NOT(Tasks[[#This Row],[_IsLeaf]]=1),"",IF(N(Tasks[[#This Row],[Duration]])&lt;=0,Tasks[[#This Row],[_LeafCalcStart]],WORKDAY.INTL(Tasks[[#This Row],[_LeafCalcStart]],Tasks[[#This Row],[Duration]]-1,WorkWeek,Holidays)))</f>
        <v/>
      </c>
      <c r="CI15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1" s="41" t="n">
        <f aca="false">IF(NOT(Tasks[[#This Row],[_IsLeaf]]=1),0,IF(N(Tasks[[#This Row],[Actual Finish]])&gt;0,1,MIN(1,N(Tasks[[#This Row],[% Complete]]))))</f>
        <v>0</v>
      </c>
      <c r="CL151" s="41" t="n">
        <f aca="false">IF(OR(NOT(Tasks[[#This Row],[_IsLeaf]]=1),Tasks[[#This Row],[Resource]]=""),0,N(Tasks[[#This Row],[Duration]])*HoursPerDay*IF(Tasks[[#This Row],[Units]]="",DefaultUnits,Tasks[[#This Row],[Units]]))</f>
        <v>0</v>
      </c>
      <c r="CM151" s="41" t="n">
        <f aca="false">IF(Tasks[[#This Row],[_LeafWork]]=0,0,Tasks[[#This Row],[_LeafWork]]*IFERROR(INDEX(res_Rate,MATCH(Tasks[[#This Row],[Resource]],res_Name,0)),0))</f>
        <v>0</v>
      </c>
      <c r="CN151" s="41" t="n">
        <f aca="false">Tasks[[#This Row],[_LeafWork]]+IF(Tasks[[#This Row],[_IsLeaf]]=1,SUMIFS(asg_Work,asg_TaskUID,Tasks[[#This Row],[UID]],asg_Valid,1),0)</f>
        <v>0</v>
      </c>
      <c r="CO151" s="41" t="n">
        <f aca="false">Tasks[[#This Row],[_LeafCost]]+IF(Tasks[[#This Row],[_IsLeaf]]=1,SUMIFS(asg_Cost,asg_TaskUID,Tasks[[#This Row],[UID]],asg_Valid,1),0)</f>
        <v>0</v>
      </c>
      <c r="CP151" s="41" t="n">
        <f aca="false">IF(Tasks[[#This Row],[_LeafTotalCost]]=0,Tasks[[#This Row],[_LeafAC]],Tasks[[#This Row],[_LeafAC]]*Tasks[[#This Row],[_LeafCost]]/Tasks[[#This Row],[_LeafTotalCost]])</f>
        <v>0</v>
      </c>
      <c r="CQ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1" s="41" t="n">
        <f aca="false">IF(NOT(Tasks[[#This Row],[_IsLeaf]]=1),0,MAX(_xlfn.MAXIFS(Tasks[_Row],Tasks[Pred1 UID],Tasks[[#This Row],[UID]]),_xlfn.MAXIFS(Tasks[_Row],Tasks[Pred2 UID],Tasks[[#This Row],[UID]]),_xlfn.MAXIFS(Tasks[_Row],Tasks[Pred3 UID],Tasks[[#This Row],[UID]]),_xlfn.MAXIFS(Tasks[_Row],Tasks[Pred4 UID],Tasks[[#This Row],[UID]])))</f>
        <v>0</v>
      </c>
      <c r="CZ1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1" s="101" t="str">
        <f aca="false">IF(NOT(Tasks[[#This Row],[_IsLeaf]]=1),"",IF(N(Tasks[[#This Row],[Duration]])&lt;=0,Tasks[[#This Row],[_LeafLateFinish]],WORKDAY.INTL(Tasks[[#This Row],[_LeafLateFinish]],-(Tasks[[#This Row],[Duration]]-1),WorkWeek,Holidays)))</f>
        <v/>
      </c>
      <c r="DC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1" s="100" t="b">
        <f aca="false">AND(Tasks[[#This Row],[_IsLeaf]]=1,Tasks[[#This Row],[_LeafProgress]]&lt;1,N(Tasks[[#This Row],[_LeafTotalSlack]])&lt;=CriticalSlackDays)</f>
        <v>0</v>
      </c>
      <c r="DE151" s="41" t="n">
        <f aca="false">IF(AND(Tasks[[#This Row],[_IsLeaf]]=1,Tasks[[#This Row],[_ConstraintCode]]=1,Tasks[[#This Row],[Mode]]&lt;&gt;"Manual",N(Tasks[[#This Row],[Actual Start]])=0),MAX(0,N(Tasks[[#This Row],[Free Slack]])),0)</f>
        <v>0</v>
      </c>
      <c r="DF151" s="101" t="str">
        <f aca="false">IF(NOT(Tasks[[#This Row],[_IsLeaf]]=1),"",IF(Tasks[[#This Row],[_AlapShift]]=0,Tasks[[#This Row],[_LeafCalcStart]],WORKDAY.INTL(Tasks[[#This Row],[_LeafCalcStart]],Tasks[[#This Row],[_AlapShift]],WorkWeek,Holidays)))</f>
        <v/>
      </c>
      <c r="DG151" s="101" t="str">
        <f aca="false">IF(NOT(Tasks[[#This Row],[_IsLeaf]]=1),"",IF(Tasks[[#This Row],[_AlapShift]]=0,Tasks[[#This Row],[_LeafCalcFinish]],WORKDAY.INTL(Tasks[[#This Row],[_LeafCalcFinish]],Tasks[[#This Row],[_AlapShift]],WorkWeek,Holidays)))</f>
        <v/>
      </c>
      <c r="DH151" s="101" t="str">
        <f aca="false">IF(NOT(Tasks[[#This Row],[_IsLeaf]]=1),"",IF(Tasks[[#This Row],[_AlapShift]]=0,Tasks[[#This Row],[_LeafFcstStart]],WORKDAY.INTL(Tasks[[#This Row],[_LeafFcstStart]],Tasks[[#This Row],[_AlapShift]],WorkWeek,Holidays)))</f>
        <v/>
      </c>
      <c r="DI151" s="101" t="str">
        <f aca="false">IF(NOT(Tasks[[#This Row],[_IsLeaf]]=1),"",IF(Tasks[[#This Row],[_AlapShift]]=0,Tasks[[#This Row],[_LeafFcstFinish]],WORKDAY.INTL(Tasks[[#This Row],[_LeafFcstFinish]],Tasks[[#This Row],[_AlapShift]],WorkWeek,Holidays)))</f>
        <v/>
      </c>
      <c r="DJ151" s="101" t="str">
        <f aca="false">IF(Tasks[[#This Row],[Task Name]]="","",IF(Tasks[[#This Row],[_IsSummary]],MIN(INDEX(Tasks[_ShownCalcStart],Tasks[[#This Row],[_Row]]+1):INDEX(Tasks[_ShownCalcStart],Tasks[[#This Row],[_Row]]+Tasks[[#This Row],[_Descendants]])),Tasks[[#This Row],[_ShownCalcStart]]))</f>
        <v/>
      </c>
      <c r="DK151" s="101" t="str">
        <f aca="false">IF(Tasks[[#This Row],[Task Name]]="","",IF(Tasks[[#This Row],[_IsSummary]],MAX(INDEX(Tasks[_ShownCalcFinish],Tasks[[#This Row],[_Row]]+1):INDEX(Tasks[_ShownCalcFinish],Tasks[[#This Row],[_Row]]+Tasks[[#This Row],[_Descendants]])),Tasks[[#This Row],[_ShownCalcFinish]]))</f>
        <v/>
      </c>
      <c r="D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1" s="41" t="n">
        <f aca="false">IF(AND(Tasks[[#This Row],[_IsLeaf]]=1,Tasks[[#This Row],[_LeafTotalWork]]&gt;0),NETWORKDAYS.INTL(ProjectStart,Tasks[[#This Row],[_ShownFcstStart]],WorkWeek,Holidays),0)</f>
        <v>0</v>
      </c>
      <c r="DY151" s="41" t="n">
        <f aca="false">IF(AND(Tasks[[#This Row],[_IsLeaf]]=1,Tasks[[#This Row],[_LeafTotalWork]]&gt;0),MAX(Tasks[[#This Row],[_StartWorkday]],NETWORKDAYS.INTL(ProjectStart,Tasks[[#This Row],[_ShownFcstFinish]],WorkWeek,Holidays)),0)</f>
        <v>0</v>
      </c>
      <c r="DZ151" s="41" t="n">
        <f aca="false">IF(AND(Tasks[[#This Row],[_IsLeaf]]=1,Tasks[[#This Row],[_LeafTotalWork]]&gt;0),Tasks[[#This Row],[_LeafWork]]/(Tasks[[#This Row],[_FinishWorkday]]-Tasks[[#This Row],[_StartWorkday]]+1),0)</f>
        <v>0</v>
      </c>
      <c r="EA151" s="41" t="n">
        <f aca="false">Tasks[[#This Row],[_WorkPerWorkday]]*(Tasks[[#This Row],[_StartWorkday]]-1)</f>
        <v>-0</v>
      </c>
      <c r="EB151" s="41" t="n">
        <f aca="false">IF(Tasks[[#This Row],[_IsLeaf]]=1,MAX(N(Tasks[[#This Row],[Duration]]),0.1),0)</f>
        <v>0</v>
      </c>
      <c r="EC151" s="41" t="n">
        <f aca="false">Tasks[[#This Row],[_WeightDur]]*Tasks[[#This Row],[_LeafProgress]]</f>
        <v>0</v>
      </c>
      <c r="ED1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1" s="41" t="str">
        <f aca="false">IF(AND(Tasks[[#This Row],[_IsLeaf]]=1,N(Tasks[[#This Row],[Duration]])=0,Tasks[[#This Row],[_LeafProgress]]&lt;1),Tasks[[#This Row],[_ShownFcstFinish]]+Tasks[[#This Row],[_Row]]/100000,"")</f>
        <v/>
      </c>
      <c r="EF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1" s="41" t="n">
        <f aca="false">IF(NOT(Tasks[[#This Row],[_IsLeaf]]=1),0,IF(Tasks[[#This Row],[Baseline Cost]]="",Tasks[[#This Row],[_LeafTotalCost]],N(Tasks[[#This Row],[Baseline Cost]])))</f>
        <v>0</v>
      </c>
      <c r="EH151" s="41" t="n">
        <f aca="false">Tasks[[#This Row],[_LeafBudget]]*Tasks[[#This Row],[_PlannedPct]]</f>
        <v>0</v>
      </c>
      <c r="EI151" s="41" t="n">
        <f aca="false">Tasks[[#This Row],[_LeafBudget]]*Tasks[[#This Row],[_LeafProgress]]</f>
        <v>0</v>
      </c>
      <c r="EJ151" s="41" t="n">
        <f aca="false">IF(NOT(Tasks[[#This Row],[_IsLeaf]]=1),0,IF(Tasks[[#This Row],[Actual Cost]]="",Tasks[[#This Row],[_LeafTotalCost]]*Tasks[[#This Row],[_LeafProgress]],N(Tasks[[#This Row],[Actual Cost]])))</f>
        <v>0</v>
      </c>
      <c r="EK151" s="41" t="str">
        <f aca="false">IF(Tasks[[#This Row],[Task Name]]="","",LEFT(Tasks[[#This Row],[WBS]],FIND(".",Tasks[[#This Row],[WBS]]&amp;".")-1))</f>
        <v/>
      </c>
      <c r="EL151" s="41" t="str">
        <f aca="false">IF(AND(Tasks[[#This Row],[Task Name]]&lt;&gt;"",Tasks[[#This Row],[_Level]]=1),Tasks[[#This Row],[_Row]],"")</f>
        <v/>
      </c>
      <c r="EM151" s="41" t="str">
        <f aca="false">IF(AND(Tasks[[#This Row],[_IsLeaf]]=1,N(Tasks[[#This Row],[Duration]])=0),Tasks[[#This Row],[Planned Finish]]+Tasks[[#This Row],[_Row]]/100000,"")</f>
        <v/>
      </c>
      <c r="EN151" s="41" t="str">
        <f aca="false">IF(AND(Tasks[[#This Row],[_IsLeaf]]=1,Tasks[[#This Row],[_LeafProgress]]&lt;1,OR(N(Tasks[[#This Row],[Finish Var]])&gt;0,Tasks[[#This Row],[Status]]="Late Start")),MAX(0,Tasks[[#This Row],[Finish Var]])+1-Tasks[[#This Row],[_Row]]/1000000,"")</f>
        <v/>
      </c>
      <c r="EO151" s="41" t="str">
        <f aca="false">IF(AND(Tasks[[#This Row],[_IsLeaf]]=1,N(Tasks[[#This Row],[Actual Start]])=0,Tasks[[#This Row],[_ShownFcstStart]]&gt;=StatusDate,Tasks[[#This Row],[_ShownFcstStart]]&lt;=LookaheadEnd),Tasks[[#This Row],[_ShownFcstStart]]+Tasks[[#This Row],[_Row]]/100000,"")</f>
        <v/>
      </c>
      <c r="EP151" s="41" t="str">
        <f aca="false">IF(AND(Tasks[[#This Row],[_IsLeaf]]=1,Tasks[[#This Row],[_LeafProgress]]&lt;1,Tasks[[#This Row],[_ShownFcstFinish]]&gt;=StatusDate,Tasks[[#This Row],[_ShownFcstFinish]]&lt;=LookaheadEnd),Tasks[[#This Row],[_ShownFcstFinish]]+Tasks[[#This Row],[_Row]]/100000,"")</f>
        <v/>
      </c>
      <c r="EQ151" s="41" t="str">
        <f aca="false">IF(Tasks[[#This Row],[_LeafCritical]],Tasks[[#This Row],[_ShownFcstStart]]+Tasks[[#This Row],[_Row]]/100000,"")</f>
        <v/>
      </c>
      <c r="ER151" s="41" t="n">
        <f aca="false">Tasks[[#This Row],[_LeafWork]]*Tasks[[#This Row],[_LeafProgress]]</f>
        <v>0</v>
      </c>
      <c r="ES151" s="101" t="str">
        <f aca="false">IF(AND(Tasks[[#This Row],[_IsLeaf]]=1,Tasks[[#This Row],[_LeafProgress]]&gt;=1),IF(N(Tasks[[#This Row],[Actual Finish]])&gt;0,Tasks[[#This Row],[Actual Finish]],Tasks[[#This Row],[_ShownFcstFinish]]),"")</f>
        <v/>
      </c>
      <c r="ET151" s="41" t="n">
        <f aca="false">IF(Tasks[[#This Row],[_IsLeaf]]=1,N(Tasks[[#This Row],[Story Points]]),0)</f>
        <v>0</v>
      </c>
      <c r="EU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29"/>
      <c r="O152" s="29"/>
      <c r="P152" s="29"/>
      <c r="Q152" s="29"/>
      <c r="R152" s="29"/>
      <c r="S152" s="29"/>
      <c r="T152" s="30"/>
      <c r="U152" s="75"/>
      <c r="V152" s="75"/>
      <c r="W152" s="25" t="str">
        <f aca="false">IF(Tasks[[#This Row],[Task Name]]="","",IF(N(Tasks[[#This Row],[Baseline Start]])&gt;0,Tasks[[#This Row],[Baseline Start]],Tasks[[#This Row],[_CalcStart]]))</f>
        <v/>
      </c>
      <c r="X152" s="25" t="str">
        <f aca="false">IF(Tasks[[#This Row],[Task Name]]="","",IF(N(Tasks[[#This Row],[Baseline Finish]])&gt;0,Tasks[[#This Row],[Baseline Finish]],Tasks[[#This Row],[_CalcFinish]]))</f>
        <v/>
      </c>
      <c r="Y152" s="75"/>
      <c r="Z152" s="75"/>
      <c r="AA152" s="25" t="str">
        <f aca="false">IF(Tasks[[#This Row],[Task Name]]="","",IF(Tasks[[#This Row],[_IsSummary]],MIN(INDEX(Tasks[_ShownFcstStart],Tasks[[#This Row],[_Row]]+1):INDEX(Tasks[_ShownFcstStart],Tasks[[#This Row],[_Row]]+Tasks[[#This Row],[_Descendants]])),Tasks[[#This Row],[_ShownFcstStart]]))</f>
        <v/>
      </c>
      <c r="AB152" s="25" t="str">
        <f aca="false">IF(Tasks[[#This Row],[Task Name]]="","",IF(Tasks[[#This Row],[_IsSummary]],MAX(INDEX(Tasks[_ShownFcstFinish],Tasks[[#This Row],[_Row]]+1):INDEX(Tasks[_ShownFcstFinish],Tasks[[#This Row],[_Row]]+Tasks[[#This Row],[_Descendants]])),Tasks[[#This Row],[_ShownFcstFinish]]))</f>
        <v/>
      </c>
      <c r="AC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2" s="25" t="str">
        <f aca="false">IF(Tasks[[#This Row],[Task Name]]="","",IF(Tasks[[#This Row],[_IsSummary]],MIN(INDEX(Tasks[_LeafLateStart],Tasks[[#This Row],[_Row]]+1):INDEX(Tasks[_LeafLateStart],Tasks[[#This Row],[_Row]]+Tasks[[#This Row],[_Descendants]])),Tasks[[#This Row],[_LeafLateStart]]))</f>
        <v/>
      </c>
      <c r="AF152" s="25" t="str">
        <f aca="false">IF(Tasks[[#This Row],[Task Name]]="","",IF(Tasks[[#This Row],[_IsSummary]],MAX(INDEX(Tasks[_LeafLateFinish],Tasks[[#This Row],[_Row]]+1):INDEX(Tasks[_LeafLateFinish],Tasks[[#This Row],[_Row]]+Tasks[[#This Row],[_Descendants]])),Tasks[[#This Row],[_LeafLateFinish]]))</f>
        <v/>
      </c>
      <c r="AG152" s="28" t="str">
        <f aca="false">IF(Tasks[[#This Row],[Task Name]]="","",IF(Tasks[[#This Row],[_IsSummary]],MIN(INDEX(Tasks[_LeafTotalSlack],Tasks[[#This Row],[_Row]]+1):INDEX(Tasks[_LeafTotalSlack],Tasks[[#This Row],[_Row]]+Tasks[[#This Row],[_Descendants]])),Tasks[[#This Row],[_LeafTotalSlack]]))</f>
        <v/>
      </c>
      <c r="AH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2" s="28" t="str">
        <f aca="false">IF(Tasks[[#This Row],[Task Name]]="","",IF(IF(Tasks[[#This Row],[_IsSummary]],COUNTIF(INDEX(Tasks[_LeafCritical],Tasks[[#This Row],[_Row]]+1):INDEX(Tasks[_LeafCritical],Tasks[[#This Row],[_Row]]+Tasks[[#This Row],[_Descendants]]),TRUE())&gt;0,Tasks[[#This Row],[_LeafCritical]]),"Yes",""))</f>
        <v/>
      </c>
      <c r="AJ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2" s="89"/>
      <c r="AM1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2" s="28" t="str">
        <f aca="false">IF(Tasks[[#This Row],[Task Name]]="","",IF(Tasks[[#This Row],[Progress]]&gt;=1,"Complete",IF(OR(N(Tasks[[#This Row],[Actual Start]])&gt;0,Tasks[[#This Row],[Progress]]&gt;0),IF(Tasks[[#This Row],[Finish Var]]&gt;0,"Behind","In Progress"),IF(Tasks[[#This Row],[Planned Start]]&lt;StatusDate,"Late Start","Not Started"))))</f>
        <v/>
      </c>
      <c r="AO152" s="30"/>
      <c r="AP152" s="89"/>
      <c r="AQ1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2" s="96" t="str">
        <f aca="false">IF(Tasks[[#This Row],[Task Name]]="","",IF(Tasks[[#This Row],[_IsSummary]],SUM(INDEX(Tasks[_LeafTotalWork],Tasks[[#This Row],[_Row]]+1):INDEX(Tasks[_LeafTotalWork],Tasks[[#This Row],[_Row]]+Tasks[[#This Row],[_Descendants]])),Tasks[[#This Row],[_LeafTotalWork]]))</f>
        <v/>
      </c>
      <c r="AT152" s="97" t="str">
        <f aca="false">IF(Tasks[[#This Row],[Task Name]]="","",IF(Tasks[[#This Row],[_IsSummary]],SUM(INDEX(Tasks[_LeafTotalCost],Tasks[[#This Row],[_Row]]+1):INDEX(Tasks[_LeafTotalCost],Tasks[[#This Row],[_Row]]+Tasks[[#This Row],[_Descendants]])),Tasks[[#This Row],[_LeafTotalCost]]))</f>
        <v/>
      </c>
      <c r="AU152" s="98"/>
      <c r="AV152" s="29"/>
      <c r="AW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2" s="83"/>
      <c r="AY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2" s="30"/>
      <c r="BA152" s="25" t="str">
        <f aca="false">IF(Tasks[[#This Row],[Task Name]]="","",Tasks[[#This Row],[Forecast Start]])</f>
        <v/>
      </c>
      <c r="BB152" s="25" t="str">
        <f aca="false">IF(Tasks[[#This Row],[Task Name]]="","",Tasks[[#This Row],[Forecast Finish]])</f>
        <v/>
      </c>
      <c r="BC152" s="28" t="str">
        <f aca="false">IF(Tasks[[#This Row],[Task Name]]="","",IF(Tasks[[#This Row],[_IsSummary]],NETWORKDAYS.INTL(Tasks[[#This Row],[Forecast Start]],Tasks[[#This Row],[Forecast Finish]],WorkWeek,Holidays),N(Tasks[[#This Row],[Duration]])))</f>
        <v/>
      </c>
      <c r="BD152" s="96" t="str">
        <f aca="false">IF(Tasks[[#This Row],[Task Name]]="","",Tasks[[#This Row],[Work]])</f>
        <v/>
      </c>
      <c r="BE152" s="97" t="str">
        <f aca="false">IF(Tasks[[#This Row],[Task Name]]="","",Tasks[[#This Row],[Cost]])</f>
        <v/>
      </c>
      <c r="BF152" s="75"/>
      <c r="BG152" s="75"/>
      <c r="BH152" s="29"/>
      <c r="BI152" s="99"/>
      <c r="BJ152" s="98"/>
      <c r="BK152" s="28" t="str">
        <f aca="false">IF(OR(Tasks[[#This Row],[Task Name]]="",Tasks[[#This Row],[Baseline Duration]]=""),"",Tasks[[#This Row],[BL Source Duration]]-N(Tasks[[#This Row],[Baseline Duration]]))</f>
        <v/>
      </c>
      <c r="BL152" s="96" t="str">
        <f aca="false">IF(OR(Tasks[[#This Row],[Task Name]]="",Tasks[[#This Row],[Baseline Work]]=""),"",Tasks[[#This Row],[Work]]-N(Tasks[[#This Row],[Baseline Work]]))</f>
        <v/>
      </c>
      <c r="BM152" s="97" t="str">
        <f aca="false">IF(OR(Tasks[[#This Row],[Task Name]]="",Tasks[[#This Row],[Baseline Cost]]=""),"",Tasks[[#This Row],[Cost]]-N(Tasks[[#This Row],[Baseline Cost]]))</f>
        <v/>
      </c>
      <c r="BN152" s="97" t="str">
        <f aca="false">IF(Tasks[[#This Row],[Task Name]]="","",IF(Tasks[[#This Row],[_IsSummary]],SUM(INDEX(Tasks[_LeafBudget],Tasks[[#This Row],[_Row]]+1):INDEX(Tasks[_LeafBudget],Tasks[[#This Row],[_Row]]+Tasks[[#This Row],[_Descendants]])),Tasks[[#This Row],[_LeafBudget]]))</f>
        <v/>
      </c>
      <c r="BO152" s="97" t="str">
        <f aca="false">IF(Tasks[[#This Row],[Task Name]]="","",IF(Tasks[[#This Row],[_IsSummary]],SUM(INDEX(Tasks[_LeafPV],Tasks[[#This Row],[_Row]]+1):INDEX(Tasks[_LeafPV],Tasks[[#This Row],[_Row]]+Tasks[[#This Row],[_Descendants]])),Tasks[[#This Row],[_LeafPV]]))</f>
        <v/>
      </c>
      <c r="BP152" s="97" t="str">
        <f aca="false">IF(Tasks[[#This Row],[Task Name]]="","",IF(Tasks[[#This Row],[_IsSummary]],SUM(INDEX(Tasks[_LeafEV],Tasks[[#This Row],[_Row]]+1):INDEX(Tasks[_LeafEV],Tasks[[#This Row],[_Row]]+Tasks[[#This Row],[_Descendants]])),Tasks[[#This Row],[_LeafEV]]))</f>
        <v/>
      </c>
      <c r="BQ152" s="97" t="str">
        <f aca="false">IF(Tasks[[#This Row],[Task Name]]="","",IF(Tasks[[#This Row],[_IsSummary]],SUM(INDEX(Tasks[_LeafAC],Tasks[[#This Row],[_Row]]+1):INDEX(Tasks[_LeafAC],Tasks[[#This Row],[_Row]]+Tasks[[#This Row],[_Descendants]])),Tasks[[#This Row],[_LeafAC]]))</f>
        <v/>
      </c>
      <c r="BR152" s="41" t="str">
        <f aca="false">IF(Tasks[[#This Row],[Task Name]]="","",MAX(1,N(Tasks[[#This Row],[Level]])))</f>
        <v/>
      </c>
      <c r="BS152" s="41" t="n">
        <f aca="false">ROW()-ROW(Tasks[[#Headers],[ID]])</f>
        <v>147</v>
      </c>
      <c r="BT152" s="41" t="n">
        <f aca="false">IF(OR(Tasks[[#This Row],[Task Name]]="",Tasks[[#This Row],[_Level]]&lt;=1),0,IFERROR(LOOKUP(2,1/(Tasks[[#Headers],[_Level]]:Tasks[[#This Row],[_Level]]=Tasks[[#This Row],[_Level]]-1),ROW(Tasks[[#Headers],[_Level]]:Tasks[[#This Row],[_Level]])),0))</f>
        <v>0</v>
      </c>
      <c r="BU152" s="41" t="n">
        <f aca="false">IFERROR(N(INDEX(Tasks[_Level],Tasks[[#This Row],[_Row]]+1)),0)</f>
        <v>0</v>
      </c>
      <c r="BV152" s="100" t="b">
        <f aca="false">AND(Tasks[[#This Row],[Task Name]]&lt;&gt;"",Tasks[[#This Row],[_NextLevel]]&gt;Tasks[[#This Row],[_Level]])</f>
        <v>0</v>
      </c>
      <c r="BW152" s="41" t="n">
        <f aca="false">IF(Tasks[[#This Row],[_IsSummary]],COUNTIF(Tasks[WBS],Tasks[[#This Row],[WBS]]&amp;".*"),0)</f>
        <v>0</v>
      </c>
      <c r="BX152" s="41" t="n">
        <f aca="false">IF(AND(Tasks[[#This Row],[Task Name]]&lt;&gt;"",NOT(Tasks[[#This Row],[_IsSummary]])),1,0)</f>
        <v>0</v>
      </c>
      <c r="BY152" s="41" t="n">
        <f aca="false">IF(N(Tasks[[#This Row],[Pred1 UID]])=0,0,IFERROR(MATCH(Tasks[[#This Row],[Pred1 UID]],Tasks[UID],0),-1))</f>
        <v>0</v>
      </c>
      <c r="BZ152" s="41" t="n">
        <f aca="false">IF(N(Tasks[[#This Row],[Pred2 UID]])=0,0,IFERROR(MATCH(Tasks[[#This Row],[Pred2 UID]],Tasks[UID],0),-1))</f>
        <v>0</v>
      </c>
      <c r="CA152" s="41" t="n">
        <f aca="false">IF(N(Tasks[[#This Row],[Pred3 UID]])=0,0,IFERROR(MATCH(Tasks[[#This Row],[Pred3 UID]],Tasks[UID],0),-1))</f>
        <v>0</v>
      </c>
      <c r="CB152" s="41" t="n">
        <f aca="false">IF(N(Tasks[[#This Row],[Pred4 UID]])=0,0,IFERROR(MATCH(Tasks[[#This Row],[Pred4 UID]],Tasks[UID],0),-1))</f>
        <v>0</v>
      </c>
      <c r="CC1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2" s="101" t="n">
        <f aca="false">IF(OR(Tasks[[#This Row],[_ConstraintCode]]=2,Tasks[[#This Row],[_ConstraintCode]]=3,Tasks[[#This Row],[_ConstraintCode]]=4,Tasks[[#This Row],[_ConstraintCode]]=6),Tasks[[#This Row],[_ConstraintStart]],0)</f>
        <v>0</v>
      </c>
      <c r="CF152" s="101" t="n">
        <f aca="false">IF(OR(Tasks[[#This Row],[_ConstraintCode]]=2,Tasks[[#This Row],[_ConstraintCode]]=3,Tasks[[#This Row],[_ConstraintCode]]=5,Tasks[[#This Row],[_ConstraintCode]]=7),Tasks[[#This Row],[_ConstraintStart]],2958465)</f>
        <v>2958465</v>
      </c>
      <c r="CG15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2" s="101" t="str">
        <f aca="false">IF(NOT(Tasks[[#This Row],[_IsLeaf]]=1),"",IF(N(Tasks[[#This Row],[Duration]])&lt;=0,Tasks[[#This Row],[_LeafCalcStart]],WORKDAY.INTL(Tasks[[#This Row],[_LeafCalcStart]],Tasks[[#This Row],[Duration]]-1,WorkWeek,Holidays)))</f>
        <v/>
      </c>
      <c r="CI15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2" s="41" t="n">
        <f aca="false">IF(NOT(Tasks[[#This Row],[_IsLeaf]]=1),0,IF(N(Tasks[[#This Row],[Actual Finish]])&gt;0,1,MIN(1,N(Tasks[[#This Row],[% Complete]]))))</f>
        <v>0</v>
      </c>
      <c r="CL152" s="41" t="n">
        <f aca="false">IF(OR(NOT(Tasks[[#This Row],[_IsLeaf]]=1),Tasks[[#This Row],[Resource]]=""),0,N(Tasks[[#This Row],[Duration]])*HoursPerDay*IF(Tasks[[#This Row],[Units]]="",DefaultUnits,Tasks[[#This Row],[Units]]))</f>
        <v>0</v>
      </c>
      <c r="CM152" s="41" t="n">
        <f aca="false">IF(Tasks[[#This Row],[_LeafWork]]=0,0,Tasks[[#This Row],[_LeafWork]]*IFERROR(INDEX(res_Rate,MATCH(Tasks[[#This Row],[Resource]],res_Name,0)),0))</f>
        <v>0</v>
      </c>
      <c r="CN152" s="41" t="n">
        <f aca="false">Tasks[[#This Row],[_LeafWork]]+IF(Tasks[[#This Row],[_IsLeaf]]=1,SUMIFS(asg_Work,asg_TaskUID,Tasks[[#This Row],[UID]],asg_Valid,1),0)</f>
        <v>0</v>
      </c>
      <c r="CO152" s="41" t="n">
        <f aca="false">Tasks[[#This Row],[_LeafCost]]+IF(Tasks[[#This Row],[_IsLeaf]]=1,SUMIFS(asg_Cost,asg_TaskUID,Tasks[[#This Row],[UID]],asg_Valid,1),0)</f>
        <v>0</v>
      </c>
      <c r="CP152" s="41" t="n">
        <f aca="false">IF(Tasks[[#This Row],[_LeafTotalCost]]=0,Tasks[[#This Row],[_LeafAC]],Tasks[[#This Row],[_LeafAC]]*Tasks[[#This Row],[_LeafCost]]/Tasks[[#This Row],[_LeafTotalCost]])</f>
        <v>0</v>
      </c>
      <c r="CQ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2" s="41" t="n">
        <f aca="false">IF(NOT(Tasks[[#This Row],[_IsLeaf]]=1),0,MAX(_xlfn.MAXIFS(Tasks[_Row],Tasks[Pred1 UID],Tasks[[#This Row],[UID]]),_xlfn.MAXIFS(Tasks[_Row],Tasks[Pred2 UID],Tasks[[#This Row],[UID]]),_xlfn.MAXIFS(Tasks[_Row],Tasks[Pred3 UID],Tasks[[#This Row],[UID]]),_xlfn.MAXIFS(Tasks[_Row],Tasks[Pred4 UID],Tasks[[#This Row],[UID]])))</f>
        <v>0</v>
      </c>
      <c r="CZ1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2" s="101" t="str">
        <f aca="false">IF(NOT(Tasks[[#This Row],[_IsLeaf]]=1),"",IF(N(Tasks[[#This Row],[Duration]])&lt;=0,Tasks[[#This Row],[_LeafLateFinish]],WORKDAY.INTL(Tasks[[#This Row],[_LeafLateFinish]],-(Tasks[[#This Row],[Duration]]-1),WorkWeek,Holidays)))</f>
        <v/>
      </c>
      <c r="DC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2" s="100" t="b">
        <f aca="false">AND(Tasks[[#This Row],[_IsLeaf]]=1,Tasks[[#This Row],[_LeafProgress]]&lt;1,N(Tasks[[#This Row],[_LeafTotalSlack]])&lt;=CriticalSlackDays)</f>
        <v>0</v>
      </c>
      <c r="DE152" s="41" t="n">
        <f aca="false">IF(AND(Tasks[[#This Row],[_IsLeaf]]=1,Tasks[[#This Row],[_ConstraintCode]]=1,Tasks[[#This Row],[Mode]]&lt;&gt;"Manual",N(Tasks[[#This Row],[Actual Start]])=0),MAX(0,N(Tasks[[#This Row],[Free Slack]])),0)</f>
        <v>0</v>
      </c>
      <c r="DF152" s="101" t="str">
        <f aca="false">IF(NOT(Tasks[[#This Row],[_IsLeaf]]=1),"",IF(Tasks[[#This Row],[_AlapShift]]=0,Tasks[[#This Row],[_LeafCalcStart]],WORKDAY.INTL(Tasks[[#This Row],[_LeafCalcStart]],Tasks[[#This Row],[_AlapShift]],WorkWeek,Holidays)))</f>
        <v/>
      </c>
      <c r="DG152" s="101" t="str">
        <f aca="false">IF(NOT(Tasks[[#This Row],[_IsLeaf]]=1),"",IF(Tasks[[#This Row],[_AlapShift]]=0,Tasks[[#This Row],[_LeafCalcFinish]],WORKDAY.INTL(Tasks[[#This Row],[_LeafCalcFinish]],Tasks[[#This Row],[_AlapShift]],WorkWeek,Holidays)))</f>
        <v/>
      </c>
      <c r="DH152" s="101" t="str">
        <f aca="false">IF(NOT(Tasks[[#This Row],[_IsLeaf]]=1),"",IF(Tasks[[#This Row],[_AlapShift]]=0,Tasks[[#This Row],[_LeafFcstStart]],WORKDAY.INTL(Tasks[[#This Row],[_LeafFcstStart]],Tasks[[#This Row],[_AlapShift]],WorkWeek,Holidays)))</f>
        <v/>
      </c>
      <c r="DI152" s="101" t="str">
        <f aca="false">IF(NOT(Tasks[[#This Row],[_IsLeaf]]=1),"",IF(Tasks[[#This Row],[_AlapShift]]=0,Tasks[[#This Row],[_LeafFcstFinish]],WORKDAY.INTL(Tasks[[#This Row],[_LeafFcstFinish]],Tasks[[#This Row],[_AlapShift]],WorkWeek,Holidays)))</f>
        <v/>
      </c>
      <c r="DJ152" s="101" t="str">
        <f aca="false">IF(Tasks[[#This Row],[Task Name]]="","",IF(Tasks[[#This Row],[_IsSummary]],MIN(INDEX(Tasks[_ShownCalcStart],Tasks[[#This Row],[_Row]]+1):INDEX(Tasks[_ShownCalcStart],Tasks[[#This Row],[_Row]]+Tasks[[#This Row],[_Descendants]])),Tasks[[#This Row],[_ShownCalcStart]]))</f>
        <v/>
      </c>
      <c r="DK152" s="101" t="str">
        <f aca="false">IF(Tasks[[#This Row],[Task Name]]="","",IF(Tasks[[#This Row],[_IsSummary]],MAX(INDEX(Tasks[_ShownCalcFinish],Tasks[[#This Row],[_Row]]+1):INDEX(Tasks[_ShownCalcFinish],Tasks[[#This Row],[_Row]]+Tasks[[#This Row],[_Descendants]])),Tasks[[#This Row],[_ShownCalcFinish]]))</f>
        <v/>
      </c>
      <c r="D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2" s="41" t="n">
        <f aca="false">IF(AND(Tasks[[#This Row],[_IsLeaf]]=1,Tasks[[#This Row],[_LeafTotalWork]]&gt;0),NETWORKDAYS.INTL(ProjectStart,Tasks[[#This Row],[_ShownFcstStart]],WorkWeek,Holidays),0)</f>
        <v>0</v>
      </c>
      <c r="DY152" s="41" t="n">
        <f aca="false">IF(AND(Tasks[[#This Row],[_IsLeaf]]=1,Tasks[[#This Row],[_LeafTotalWork]]&gt;0),MAX(Tasks[[#This Row],[_StartWorkday]],NETWORKDAYS.INTL(ProjectStart,Tasks[[#This Row],[_ShownFcstFinish]],WorkWeek,Holidays)),0)</f>
        <v>0</v>
      </c>
      <c r="DZ152" s="41" t="n">
        <f aca="false">IF(AND(Tasks[[#This Row],[_IsLeaf]]=1,Tasks[[#This Row],[_LeafTotalWork]]&gt;0),Tasks[[#This Row],[_LeafWork]]/(Tasks[[#This Row],[_FinishWorkday]]-Tasks[[#This Row],[_StartWorkday]]+1),0)</f>
        <v>0</v>
      </c>
      <c r="EA152" s="41" t="n">
        <f aca="false">Tasks[[#This Row],[_WorkPerWorkday]]*(Tasks[[#This Row],[_StartWorkday]]-1)</f>
        <v>-0</v>
      </c>
      <c r="EB152" s="41" t="n">
        <f aca="false">IF(Tasks[[#This Row],[_IsLeaf]]=1,MAX(N(Tasks[[#This Row],[Duration]]),0.1),0)</f>
        <v>0</v>
      </c>
      <c r="EC152" s="41" t="n">
        <f aca="false">Tasks[[#This Row],[_WeightDur]]*Tasks[[#This Row],[_LeafProgress]]</f>
        <v>0</v>
      </c>
      <c r="ED1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2" s="41" t="str">
        <f aca="false">IF(AND(Tasks[[#This Row],[_IsLeaf]]=1,N(Tasks[[#This Row],[Duration]])=0,Tasks[[#This Row],[_LeafProgress]]&lt;1),Tasks[[#This Row],[_ShownFcstFinish]]+Tasks[[#This Row],[_Row]]/100000,"")</f>
        <v/>
      </c>
      <c r="EF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2" s="41" t="n">
        <f aca="false">IF(NOT(Tasks[[#This Row],[_IsLeaf]]=1),0,IF(Tasks[[#This Row],[Baseline Cost]]="",Tasks[[#This Row],[_LeafTotalCost]],N(Tasks[[#This Row],[Baseline Cost]])))</f>
        <v>0</v>
      </c>
      <c r="EH152" s="41" t="n">
        <f aca="false">Tasks[[#This Row],[_LeafBudget]]*Tasks[[#This Row],[_PlannedPct]]</f>
        <v>0</v>
      </c>
      <c r="EI152" s="41" t="n">
        <f aca="false">Tasks[[#This Row],[_LeafBudget]]*Tasks[[#This Row],[_LeafProgress]]</f>
        <v>0</v>
      </c>
      <c r="EJ152" s="41" t="n">
        <f aca="false">IF(NOT(Tasks[[#This Row],[_IsLeaf]]=1),0,IF(Tasks[[#This Row],[Actual Cost]]="",Tasks[[#This Row],[_LeafTotalCost]]*Tasks[[#This Row],[_LeafProgress]],N(Tasks[[#This Row],[Actual Cost]])))</f>
        <v>0</v>
      </c>
      <c r="EK152" s="41" t="str">
        <f aca="false">IF(Tasks[[#This Row],[Task Name]]="","",LEFT(Tasks[[#This Row],[WBS]],FIND(".",Tasks[[#This Row],[WBS]]&amp;".")-1))</f>
        <v/>
      </c>
      <c r="EL152" s="41" t="str">
        <f aca="false">IF(AND(Tasks[[#This Row],[Task Name]]&lt;&gt;"",Tasks[[#This Row],[_Level]]=1),Tasks[[#This Row],[_Row]],"")</f>
        <v/>
      </c>
      <c r="EM152" s="41" t="str">
        <f aca="false">IF(AND(Tasks[[#This Row],[_IsLeaf]]=1,N(Tasks[[#This Row],[Duration]])=0),Tasks[[#This Row],[Planned Finish]]+Tasks[[#This Row],[_Row]]/100000,"")</f>
        <v/>
      </c>
      <c r="EN152" s="41" t="str">
        <f aca="false">IF(AND(Tasks[[#This Row],[_IsLeaf]]=1,Tasks[[#This Row],[_LeafProgress]]&lt;1,OR(N(Tasks[[#This Row],[Finish Var]])&gt;0,Tasks[[#This Row],[Status]]="Late Start")),MAX(0,Tasks[[#This Row],[Finish Var]])+1-Tasks[[#This Row],[_Row]]/1000000,"")</f>
        <v/>
      </c>
      <c r="EO152" s="41" t="str">
        <f aca="false">IF(AND(Tasks[[#This Row],[_IsLeaf]]=1,N(Tasks[[#This Row],[Actual Start]])=0,Tasks[[#This Row],[_ShownFcstStart]]&gt;=StatusDate,Tasks[[#This Row],[_ShownFcstStart]]&lt;=LookaheadEnd),Tasks[[#This Row],[_ShownFcstStart]]+Tasks[[#This Row],[_Row]]/100000,"")</f>
        <v/>
      </c>
      <c r="EP152" s="41" t="str">
        <f aca="false">IF(AND(Tasks[[#This Row],[_IsLeaf]]=1,Tasks[[#This Row],[_LeafProgress]]&lt;1,Tasks[[#This Row],[_ShownFcstFinish]]&gt;=StatusDate,Tasks[[#This Row],[_ShownFcstFinish]]&lt;=LookaheadEnd),Tasks[[#This Row],[_ShownFcstFinish]]+Tasks[[#This Row],[_Row]]/100000,"")</f>
        <v/>
      </c>
      <c r="EQ152" s="41" t="str">
        <f aca="false">IF(Tasks[[#This Row],[_LeafCritical]],Tasks[[#This Row],[_ShownFcstStart]]+Tasks[[#This Row],[_Row]]/100000,"")</f>
        <v/>
      </c>
      <c r="ER152" s="41" t="n">
        <f aca="false">Tasks[[#This Row],[_LeafWork]]*Tasks[[#This Row],[_LeafProgress]]</f>
        <v>0</v>
      </c>
      <c r="ES152" s="101" t="str">
        <f aca="false">IF(AND(Tasks[[#This Row],[_IsLeaf]]=1,Tasks[[#This Row],[_LeafProgress]]&gt;=1),IF(N(Tasks[[#This Row],[Actual Finish]])&gt;0,Tasks[[#This Row],[Actual Finish]],Tasks[[#This Row],[_ShownFcstFinish]]),"")</f>
        <v/>
      </c>
      <c r="ET152" s="41" t="n">
        <f aca="false">IF(Tasks[[#This Row],[_IsLeaf]]=1,N(Tasks[[#This Row],[Story Points]]),0)</f>
        <v>0</v>
      </c>
      <c r="EU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29"/>
      <c r="O153" s="29"/>
      <c r="P153" s="29"/>
      <c r="Q153" s="29"/>
      <c r="R153" s="29"/>
      <c r="S153" s="29"/>
      <c r="T153" s="30"/>
      <c r="U153" s="75"/>
      <c r="V153" s="75"/>
      <c r="W153" s="25" t="str">
        <f aca="false">IF(Tasks[[#This Row],[Task Name]]="","",IF(N(Tasks[[#This Row],[Baseline Start]])&gt;0,Tasks[[#This Row],[Baseline Start]],Tasks[[#This Row],[_CalcStart]]))</f>
        <v/>
      </c>
      <c r="X153" s="25" t="str">
        <f aca="false">IF(Tasks[[#This Row],[Task Name]]="","",IF(N(Tasks[[#This Row],[Baseline Finish]])&gt;0,Tasks[[#This Row],[Baseline Finish]],Tasks[[#This Row],[_CalcFinish]]))</f>
        <v/>
      </c>
      <c r="Y153" s="75"/>
      <c r="Z153" s="75"/>
      <c r="AA153" s="25" t="str">
        <f aca="false">IF(Tasks[[#This Row],[Task Name]]="","",IF(Tasks[[#This Row],[_IsSummary]],MIN(INDEX(Tasks[_ShownFcstStart],Tasks[[#This Row],[_Row]]+1):INDEX(Tasks[_ShownFcstStart],Tasks[[#This Row],[_Row]]+Tasks[[#This Row],[_Descendants]])),Tasks[[#This Row],[_ShownFcstStart]]))</f>
        <v/>
      </c>
      <c r="AB153" s="25" t="str">
        <f aca="false">IF(Tasks[[#This Row],[Task Name]]="","",IF(Tasks[[#This Row],[_IsSummary]],MAX(INDEX(Tasks[_ShownFcstFinish],Tasks[[#This Row],[_Row]]+1):INDEX(Tasks[_ShownFcstFinish],Tasks[[#This Row],[_Row]]+Tasks[[#This Row],[_Descendants]])),Tasks[[#This Row],[_ShownFcstFinish]]))</f>
        <v/>
      </c>
      <c r="AC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3" s="25" t="str">
        <f aca="false">IF(Tasks[[#This Row],[Task Name]]="","",IF(Tasks[[#This Row],[_IsSummary]],MIN(INDEX(Tasks[_LeafLateStart],Tasks[[#This Row],[_Row]]+1):INDEX(Tasks[_LeafLateStart],Tasks[[#This Row],[_Row]]+Tasks[[#This Row],[_Descendants]])),Tasks[[#This Row],[_LeafLateStart]]))</f>
        <v/>
      </c>
      <c r="AF153" s="25" t="str">
        <f aca="false">IF(Tasks[[#This Row],[Task Name]]="","",IF(Tasks[[#This Row],[_IsSummary]],MAX(INDEX(Tasks[_LeafLateFinish],Tasks[[#This Row],[_Row]]+1):INDEX(Tasks[_LeafLateFinish],Tasks[[#This Row],[_Row]]+Tasks[[#This Row],[_Descendants]])),Tasks[[#This Row],[_LeafLateFinish]]))</f>
        <v/>
      </c>
      <c r="AG153" s="28" t="str">
        <f aca="false">IF(Tasks[[#This Row],[Task Name]]="","",IF(Tasks[[#This Row],[_IsSummary]],MIN(INDEX(Tasks[_LeafTotalSlack],Tasks[[#This Row],[_Row]]+1):INDEX(Tasks[_LeafTotalSlack],Tasks[[#This Row],[_Row]]+Tasks[[#This Row],[_Descendants]])),Tasks[[#This Row],[_LeafTotalSlack]]))</f>
        <v/>
      </c>
      <c r="AH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3" s="28" t="str">
        <f aca="false">IF(Tasks[[#This Row],[Task Name]]="","",IF(IF(Tasks[[#This Row],[_IsSummary]],COUNTIF(INDEX(Tasks[_LeafCritical],Tasks[[#This Row],[_Row]]+1):INDEX(Tasks[_LeafCritical],Tasks[[#This Row],[_Row]]+Tasks[[#This Row],[_Descendants]]),TRUE())&gt;0,Tasks[[#This Row],[_LeafCritical]]),"Yes",""))</f>
        <v/>
      </c>
      <c r="AJ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3" s="89"/>
      <c r="AM1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3" s="28" t="str">
        <f aca="false">IF(Tasks[[#This Row],[Task Name]]="","",IF(Tasks[[#This Row],[Progress]]&gt;=1,"Complete",IF(OR(N(Tasks[[#This Row],[Actual Start]])&gt;0,Tasks[[#This Row],[Progress]]&gt;0),IF(Tasks[[#This Row],[Finish Var]]&gt;0,"Behind","In Progress"),IF(Tasks[[#This Row],[Planned Start]]&lt;StatusDate,"Late Start","Not Started"))))</f>
        <v/>
      </c>
      <c r="AO153" s="30"/>
      <c r="AP153" s="89"/>
      <c r="AQ1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3" s="96" t="str">
        <f aca="false">IF(Tasks[[#This Row],[Task Name]]="","",IF(Tasks[[#This Row],[_IsSummary]],SUM(INDEX(Tasks[_LeafTotalWork],Tasks[[#This Row],[_Row]]+1):INDEX(Tasks[_LeafTotalWork],Tasks[[#This Row],[_Row]]+Tasks[[#This Row],[_Descendants]])),Tasks[[#This Row],[_LeafTotalWork]]))</f>
        <v/>
      </c>
      <c r="AT153" s="97" t="str">
        <f aca="false">IF(Tasks[[#This Row],[Task Name]]="","",IF(Tasks[[#This Row],[_IsSummary]],SUM(INDEX(Tasks[_LeafTotalCost],Tasks[[#This Row],[_Row]]+1):INDEX(Tasks[_LeafTotalCost],Tasks[[#This Row],[_Row]]+Tasks[[#This Row],[_Descendants]])),Tasks[[#This Row],[_LeafTotalCost]]))</f>
        <v/>
      </c>
      <c r="AU153" s="98"/>
      <c r="AV153" s="29"/>
      <c r="AW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3" s="83"/>
      <c r="AY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3" s="30"/>
      <c r="BA153" s="25" t="str">
        <f aca="false">IF(Tasks[[#This Row],[Task Name]]="","",Tasks[[#This Row],[Forecast Start]])</f>
        <v/>
      </c>
      <c r="BB153" s="25" t="str">
        <f aca="false">IF(Tasks[[#This Row],[Task Name]]="","",Tasks[[#This Row],[Forecast Finish]])</f>
        <v/>
      </c>
      <c r="BC153" s="28" t="str">
        <f aca="false">IF(Tasks[[#This Row],[Task Name]]="","",IF(Tasks[[#This Row],[_IsSummary]],NETWORKDAYS.INTL(Tasks[[#This Row],[Forecast Start]],Tasks[[#This Row],[Forecast Finish]],WorkWeek,Holidays),N(Tasks[[#This Row],[Duration]])))</f>
        <v/>
      </c>
      <c r="BD153" s="96" t="str">
        <f aca="false">IF(Tasks[[#This Row],[Task Name]]="","",Tasks[[#This Row],[Work]])</f>
        <v/>
      </c>
      <c r="BE153" s="97" t="str">
        <f aca="false">IF(Tasks[[#This Row],[Task Name]]="","",Tasks[[#This Row],[Cost]])</f>
        <v/>
      </c>
      <c r="BF153" s="75"/>
      <c r="BG153" s="75"/>
      <c r="BH153" s="29"/>
      <c r="BI153" s="99"/>
      <c r="BJ153" s="98"/>
      <c r="BK153" s="28" t="str">
        <f aca="false">IF(OR(Tasks[[#This Row],[Task Name]]="",Tasks[[#This Row],[Baseline Duration]]=""),"",Tasks[[#This Row],[BL Source Duration]]-N(Tasks[[#This Row],[Baseline Duration]]))</f>
        <v/>
      </c>
      <c r="BL153" s="96" t="str">
        <f aca="false">IF(OR(Tasks[[#This Row],[Task Name]]="",Tasks[[#This Row],[Baseline Work]]=""),"",Tasks[[#This Row],[Work]]-N(Tasks[[#This Row],[Baseline Work]]))</f>
        <v/>
      </c>
      <c r="BM153" s="97" t="str">
        <f aca="false">IF(OR(Tasks[[#This Row],[Task Name]]="",Tasks[[#This Row],[Baseline Cost]]=""),"",Tasks[[#This Row],[Cost]]-N(Tasks[[#This Row],[Baseline Cost]]))</f>
        <v/>
      </c>
      <c r="BN153" s="97" t="str">
        <f aca="false">IF(Tasks[[#This Row],[Task Name]]="","",IF(Tasks[[#This Row],[_IsSummary]],SUM(INDEX(Tasks[_LeafBudget],Tasks[[#This Row],[_Row]]+1):INDEX(Tasks[_LeafBudget],Tasks[[#This Row],[_Row]]+Tasks[[#This Row],[_Descendants]])),Tasks[[#This Row],[_LeafBudget]]))</f>
        <v/>
      </c>
      <c r="BO153" s="97" t="str">
        <f aca="false">IF(Tasks[[#This Row],[Task Name]]="","",IF(Tasks[[#This Row],[_IsSummary]],SUM(INDEX(Tasks[_LeafPV],Tasks[[#This Row],[_Row]]+1):INDEX(Tasks[_LeafPV],Tasks[[#This Row],[_Row]]+Tasks[[#This Row],[_Descendants]])),Tasks[[#This Row],[_LeafPV]]))</f>
        <v/>
      </c>
      <c r="BP153" s="97" t="str">
        <f aca="false">IF(Tasks[[#This Row],[Task Name]]="","",IF(Tasks[[#This Row],[_IsSummary]],SUM(INDEX(Tasks[_LeafEV],Tasks[[#This Row],[_Row]]+1):INDEX(Tasks[_LeafEV],Tasks[[#This Row],[_Row]]+Tasks[[#This Row],[_Descendants]])),Tasks[[#This Row],[_LeafEV]]))</f>
        <v/>
      </c>
      <c r="BQ153" s="97" t="str">
        <f aca="false">IF(Tasks[[#This Row],[Task Name]]="","",IF(Tasks[[#This Row],[_IsSummary]],SUM(INDEX(Tasks[_LeafAC],Tasks[[#This Row],[_Row]]+1):INDEX(Tasks[_LeafAC],Tasks[[#This Row],[_Row]]+Tasks[[#This Row],[_Descendants]])),Tasks[[#This Row],[_LeafAC]]))</f>
        <v/>
      </c>
      <c r="BR153" s="41" t="str">
        <f aca="false">IF(Tasks[[#This Row],[Task Name]]="","",MAX(1,N(Tasks[[#This Row],[Level]])))</f>
        <v/>
      </c>
      <c r="BS153" s="41" t="n">
        <f aca="false">ROW()-ROW(Tasks[[#Headers],[ID]])</f>
        <v>148</v>
      </c>
      <c r="BT153" s="41" t="n">
        <f aca="false">IF(OR(Tasks[[#This Row],[Task Name]]="",Tasks[[#This Row],[_Level]]&lt;=1),0,IFERROR(LOOKUP(2,1/(Tasks[[#Headers],[_Level]]:Tasks[[#This Row],[_Level]]=Tasks[[#This Row],[_Level]]-1),ROW(Tasks[[#Headers],[_Level]]:Tasks[[#This Row],[_Level]])),0))</f>
        <v>0</v>
      </c>
      <c r="BU153" s="41" t="n">
        <f aca="false">IFERROR(N(INDEX(Tasks[_Level],Tasks[[#This Row],[_Row]]+1)),0)</f>
        <v>0</v>
      </c>
      <c r="BV153" s="100" t="b">
        <f aca="false">AND(Tasks[[#This Row],[Task Name]]&lt;&gt;"",Tasks[[#This Row],[_NextLevel]]&gt;Tasks[[#This Row],[_Level]])</f>
        <v>0</v>
      </c>
      <c r="BW153" s="41" t="n">
        <f aca="false">IF(Tasks[[#This Row],[_IsSummary]],COUNTIF(Tasks[WBS],Tasks[[#This Row],[WBS]]&amp;".*"),0)</f>
        <v>0</v>
      </c>
      <c r="BX153" s="41" t="n">
        <f aca="false">IF(AND(Tasks[[#This Row],[Task Name]]&lt;&gt;"",NOT(Tasks[[#This Row],[_IsSummary]])),1,0)</f>
        <v>0</v>
      </c>
      <c r="BY153" s="41" t="n">
        <f aca="false">IF(N(Tasks[[#This Row],[Pred1 UID]])=0,0,IFERROR(MATCH(Tasks[[#This Row],[Pred1 UID]],Tasks[UID],0),-1))</f>
        <v>0</v>
      </c>
      <c r="BZ153" s="41" t="n">
        <f aca="false">IF(N(Tasks[[#This Row],[Pred2 UID]])=0,0,IFERROR(MATCH(Tasks[[#This Row],[Pred2 UID]],Tasks[UID],0),-1))</f>
        <v>0</v>
      </c>
      <c r="CA153" s="41" t="n">
        <f aca="false">IF(N(Tasks[[#This Row],[Pred3 UID]])=0,0,IFERROR(MATCH(Tasks[[#This Row],[Pred3 UID]],Tasks[UID],0),-1))</f>
        <v>0</v>
      </c>
      <c r="CB153" s="41" t="n">
        <f aca="false">IF(N(Tasks[[#This Row],[Pred4 UID]])=0,0,IFERROR(MATCH(Tasks[[#This Row],[Pred4 UID]],Tasks[UID],0),-1))</f>
        <v>0</v>
      </c>
      <c r="CC1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3" s="101" t="n">
        <f aca="false">IF(OR(Tasks[[#This Row],[_ConstraintCode]]=2,Tasks[[#This Row],[_ConstraintCode]]=3,Tasks[[#This Row],[_ConstraintCode]]=4,Tasks[[#This Row],[_ConstraintCode]]=6),Tasks[[#This Row],[_ConstraintStart]],0)</f>
        <v>0</v>
      </c>
      <c r="CF153" s="101" t="n">
        <f aca="false">IF(OR(Tasks[[#This Row],[_ConstraintCode]]=2,Tasks[[#This Row],[_ConstraintCode]]=3,Tasks[[#This Row],[_ConstraintCode]]=5,Tasks[[#This Row],[_ConstraintCode]]=7),Tasks[[#This Row],[_ConstraintStart]],2958465)</f>
        <v>2958465</v>
      </c>
      <c r="CG15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3" s="101" t="str">
        <f aca="false">IF(NOT(Tasks[[#This Row],[_IsLeaf]]=1),"",IF(N(Tasks[[#This Row],[Duration]])&lt;=0,Tasks[[#This Row],[_LeafCalcStart]],WORKDAY.INTL(Tasks[[#This Row],[_LeafCalcStart]],Tasks[[#This Row],[Duration]]-1,WorkWeek,Holidays)))</f>
        <v/>
      </c>
      <c r="CI15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3" s="41" t="n">
        <f aca="false">IF(NOT(Tasks[[#This Row],[_IsLeaf]]=1),0,IF(N(Tasks[[#This Row],[Actual Finish]])&gt;0,1,MIN(1,N(Tasks[[#This Row],[% Complete]]))))</f>
        <v>0</v>
      </c>
      <c r="CL153" s="41" t="n">
        <f aca="false">IF(OR(NOT(Tasks[[#This Row],[_IsLeaf]]=1),Tasks[[#This Row],[Resource]]=""),0,N(Tasks[[#This Row],[Duration]])*HoursPerDay*IF(Tasks[[#This Row],[Units]]="",DefaultUnits,Tasks[[#This Row],[Units]]))</f>
        <v>0</v>
      </c>
      <c r="CM153" s="41" t="n">
        <f aca="false">IF(Tasks[[#This Row],[_LeafWork]]=0,0,Tasks[[#This Row],[_LeafWork]]*IFERROR(INDEX(res_Rate,MATCH(Tasks[[#This Row],[Resource]],res_Name,0)),0))</f>
        <v>0</v>
      </c>
      <c r="CN153" s="41" t="n">
        <f aca="false">Tasks[[#This Row],[_LeafWork]]+IF(Tasks[[#This Row],[_IsLeaf]]=1,SUMIFS(asg_Work,asg_TaskUID,Tasks[[#This Row],[UID]],asg_Valid,1),0)</f>
        <v>0</v>
      </c>
      <c r="CO153" s="41" t="n">
        <f aca="false">Tasks[[#This Row],[_LeafCost]]+IF(Tasks[[#This Row],[_IsLeaf]]=1,SUMIFS(asg_Cost,asg_TaskUID,Tasks[[#This Row],[UID]],asg_Valid,1),0)</f>
        <v>0</v>
      </c>
      <c r="CP153" s="41" t="n">
        <f aca="false">IF(Tasks[[#This Row],[_LeafTotalCost]]=0,Tasks[[#This Row],[_LeafAC]],Tasks[[#This Row],[_LeafAC]]*Tasks[[#This Row],[_LeafCost]]/Tasks[[#This Row],[_LeafTotalCost]])</f>
        <v>0</v>
      </c>
      <c r="CQ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3" s="41" t="n">
        <f aca="false">IF(NOT(Tasks[[#This Row],[_IsLeaf]]=1),0,MAX(_xlfn.MAXIFS(Tasks[_Row],Tasks[Pred1 UID],Tasks[[#This Row],[UID]]),_xlfn.MAXIFS(Tasks[_Row],Tasks[Pred2 UID],Tasks[[#This Row],[UID]]),_xlfn.MAXIFS(Tasks[_Row],Tasks[Pred3 UID],Tasks[[#This Row],[UID]]),_xlfn.MAXIFS(Tasks[_Row],Tasks[Pred4 UID],Tasks[[#This Row],[UID]])))</f>
        <v>0</v>
      </c>
      <c r="CZ1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3" s="101" t="str">
        <f aca="false">IF(NOT(Tasks[[#This Row],[_IsLeaf]]=1),"",IF(N(Tasks[[#This Row],[Duration]])&lt;=0,Tasks[[#This Row],[_LeafLateFinish]],WORKDAY.INTL(Tasks[[#This Row],[_LeafLateFinish]],-(Tasks[[#This Row],[Duration]]-1),WorkWeek,Holidays)))</f>
        <v/>
      </c>
      <c r="DC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3" s="100" t="b">
        <f aca="false">AND(Tasks[[#This Row],[_IsLeaf]]=1,Tasks[[#This Row],[_LeafProgress]]&lt;1,N(Tasks[[#This Row],[_LeafTotalSlack]])&lt;=CriticalSlackDays)</f>
        <v>0</v>
      </c>
      <c r="DE153" s="41" t="n">
        <f aca="false">IF(AND(Tasks[[#This Row],[_IsLeaf]]=1,Tasks[[#This Row],[_ConstraintCode]]=1,Tasks[[#This Row],[Mode]]&lt;&gt;"Manual",N(Tasks[[#This Row],[Actual Start]])=0),MAX(0,N(Tasks[[#This Row],[Free Slack]])),0)</f>
        <v>0</v>
      </c>
      <c r="DF153" s="101" t="str">
        <f aca="false">IF(NOT(Tasks[[#This Row],[_IsLeaf]]=1),"",IF(Tasks[[#This Row],[_AlapShift]]=0,Tasks[[#This Row],[_LeafCalcStart]],WORKDAY.INTL(Tasks[[#This Row],[_LeafCalcStart]],Tasks[[#This Row],[_AlapShift]],WorkWeek,Holidays)))</f>
        <v/>
      </c>
      <c r="DG153" s="101" t="str">
        <f aca="false">IF(NOT(Tasks[[#This Row],[_IsLeaf]]=1),"",IF(Tasks[[#This Row],[_AlapShift]]=0,Tasks[[#This Row],[_LeafCalcFinish]],WORKDAY.INTL(Tasks[[#This Row],[_LeafCalcFinish]],Tasks[[#This Row],[_AlapShift]],WorkWeek,Holidays)))</f>
        <v/>
      </c>
      <c r="DH153" s="101" t="str">
        <f aca="false">IF(NOT(Tasks[[#This Row],[_IsLeaf]]=1),"",IF(Tasks[[#This Row],[_AlapShift]]=0,Tasks[[#This Row],[_LeafFcstStart]],WORKDAY.INTL(Tasks[[#This Row],[_LeafFcstStart]],Tasks[[#This Row],[_AlapShift]],WorkWeek,Holidays)))</f>
        <v/>
      </c>
      <c r="DI153" s="101" t="str">
        <f aca="false">IF(NOT(Tasks[[#This Row],[_IsLeaf]]=1),"",IF(Tasks[[#This Row],[_AlapShift]]=0,Tasks[[#This Row],[_LeafFcstFinish]],WORKDAY.INTL(Tasks[[#This Row],[_LeafFcstFinish]],Tasks[[#This Row],[_AlapShift]],WorkWeek,Holidays)))</f>
        <v/>
      </c>
      <c r="DJ153" s="101" t="str">
        <f aca="false">IF(Tasks[[#This Row],[Task Name]]="","",IF(Tasks[[#This Row],[_IsSummary]],MIN(INDEX(Tasks[_ShownCalcStart],Tasks[[#This Row],[_Row]]+1):INDEX(Tasks[_ShownCalcStart],Tasks[[#This Row],[_Row]]+Tasks[[#This Row],[_Descendants]])),Tasks[[#This Row],[_ShownCalcStart]]))</f>
        <v/>
      </c>
      <c r="DK153" s="101" t="str">
        <f aca="false">IF(Tasks[[#This Row],[Task Name]]="","",IF(Tasks[[#This Row],[_IsSummary]],MAX(INDEX(Tasks[_ShownCalcFinish],Tasks[[#This Row],[_Row]]+1):INDEX(Tasks[_ShownCalcFinish],Tasks[[#This Row],[_Row]]+Tasks[[#This Row],[_Descendants]])),Tasks[[#This Row],[_ShownCalcFinish]]))</f>
        <v/>
      </c>
      <c r="D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3" s="41" t="n">
        <f aca="false">IF(AND(Tasks[[#This Row],[_IsLeaf]]=1,Tasks[[#This Row],[_LeafTotalWork]]&gt;0),NETWORKDAYS.INTL(ProjectStart,Tasks[[#This Row],[_ShownFcstStart]],WorkWeek,Holidays),0)</f>
        <v>0</v>
      </c>
      <c r="DY153" s="41" t="n">
        <f aca="false">IF(AND(Tasks[[#This Row],[_IsLeaf]]=1,Tasks[[#This Row],[_LeafTotalWork]]&gt;0),MAX(Tasks[[#This Row],[_StartWorkday]],NETWORKDAYS.INTL(ProjectStart,Tasks[[#This Row],[_ShownFcstFinish]],WorkWeek,Holidays)),0)</f>
        <v>0</v>
      </c>
      <c r="DZ153" s="41" t="n">
        <f aca="false">IF(AND(Tasks[[#This Row],[_IsLeaf]]=1,Tasks[[#This Row],[_LeafTotalWork]]&gt;0),Tasks[[#This Row],[_LeafWork]]/(Tasks[[#This Row],[_FinishWorkday]]-Tasks[[#This Row],[_StartWorkday]]+1),0)</f>
        <v>0</v>
      </c>
      <c r="EA153" s="41" t="n">
        <f aca="false">Tasks[[#This Row],[_WorkPerWorkday]]*(Tasks[[#This Row],[_StartWorkday]]-1)</f>
        <v>-0</v>
      </c>
      <c r="EB153" s="41" t="n">
        <f aca="false">IF(Tasks[[#This Row],[_IsLeaf]]=1,MAX(N(Tasks[[#This Row],[Duration]]),0.1),0)</f>
        <v>0</v>
      </c>
      <c r="EC153" s="41" t="n">
        <f aca="false">Tasks[[#This Row],[_WeightDur]]*Tasks[[#This Row],[_LeafProgress]]</f>
        <v>0</v>
      </c>
      <c r="ED1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3" s="41" t="str">
        <f aca="false">IF(AND(Tasks[[#This Row],[_IsLeaf]]=1,N(Tasks[[#This Row],[Duration]])=0,Tasks[[#This Row],[_LeafProgress]]&lt;1),Tasks[[#This Row],[_ShownFcstFinish]]+Tasks[[#This Row],[_Row]]/100000,"")</f>
        <v/>
      </c>
      <c r="EF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3" s="41" t="n">
        <f aca="false">IF(NOT(Tasks[[#This Row],[_IsLeaf]]=1),0,IF(Tasks[[#This Row],[Baseline Cost]]="",Tasks[[#This Row],[_LeafTotalCost]],N(Tasks[[#This Row],[Baseline Cost]])))</f>
        <v>0</v>
      </c>
      <c r="EH153" s="41" t="n">
        <f aca="false">Tasks[[#This Row],[_LeafBudget]]*Tasks[[#This Row],[_PlannedPct]]</f>
        <v>0</v>
      </c>
      <c r="EI153" s="41" t="n">
        <f aca="false">Tasks[[#This Row],[_LeafBudget]]*Tasks[[#This Row],[_LeafProgress]]</f>
        <v>0</v>
      </c>
      <c r="EJ153" s="41" t="n">
        <f aca="false">IF(NOT(Tasks[[#This Row],[_IsLeaf]]=1),0,IF(Tasks[[#This Row],[Actual Cost]]="",Tasks[[#This Row],[_LeafTotalCost]]*Tasks[[#This Row],[_LeafProgress]],N(Tasks[[#This Row],[Actual Cost]])))</f>
        <v>0</v>
      </c>
      <c r="EK153" s="41" t="str">
        <f aca="false">IF(Tasks[[#This Row],[Task Name]]="","",LEFT(Tasks[[#This Row],[WBS]],FIND(".",Tasks[[#This Row],[WBS]]&amp;".")-1))</f>
        <v/>
      </c>
      <c r="EL153" s="41" t="str">
        <f aca="false">IF(AND(Tasks[[#This Row],[Task Name]]&lt;&gt;"",Tasks[[#This Row],[_Level]]=1),Tasks[[#This Row],[_Row]],"")</f>
        <v/>
      </c>
      <c r="EM153" s="41" t="str">
        <f aca="false">IF(AND(Tasks[[#This Row],[_IsLeaf]]=1,N(Tasks[[#This Row],[Duration]])=0),Tasks[[#This Row],[Planned Finish]]+Tasks[[#This Row],[_Row]]/100000,"")</f>
        <v/>
      </c>
      <c r="EN153" s="41" t="str">
        <f aca="false">IF(AND(Tasks[[#This Row],[_IsLeaf]]=1,Tasks[[#This Row],[_LeafProgress]]&lt;1,OR(N(Tasks[[#This Row],[Finish Var]])&gt;0,Tasks[[#This Row],[Status]]="Late Start")),MAX(0,Tasks[[#This Row],[Finish Var]])+1-Tasks[[#This Row],[_Row]]/1000000,"")</f>
        <v/>
      </c>
      <c r="EO153" s="41" t="str">
        <f aca="false">IF(AND(Tasks[[#This Row],[_IsLeaf]]=1,N(Tasks[[#This Row],[Actual Start]])=0,Tasks[[#This Row],[_ShownFcstStart]]&gt;=StatusDate,Tasks[[#This Row],[_ShownFcstStart]]&lt;=LookaheadEnd),Tasks[[#This Row],[_ShownFcstStart]]+Tasks[[#This Row],[_Row]]/100000,"")</f>
        <v/>
      </c>
      <c r="EP153" s="41" t="str">
        <f aca="false">IF(AND(Tasks[[#This Row],[_IsLeaf]]=1,Tasks[[#This Row],[_LeafProgress]]&lt;1,Tasks[[#This Row],[_ShownFcstFinish]]&gt;=StatusDate,Tasks[[#This Row],[_ShownFcstFinish]]&lt;=LookaheadEnd),Tasks[[#This Row],[_ShownFcstFinish]]+Tasks[[#This Row],[_Row]]/100000,"")</f>
        <v/>
      </c>
      <c r="EQ153" s="41" t="str">
        <f aca="false">IF(Tasks[[#This Row],[_LeafCritical]],Tasks[[#This Row],[_ShownFcstStart]]+Tasks[[#This Row],[_Row]]/100000,"")</f>
        <v/>
      </c>
      <c r="ER153" s="41" t="n">
        <f aca="false">Tasks[[#This Row],[_LeafWork]]*Tasks[[#This Row],[_LeafProgress]]</f>
        <v>0</v>
      </c>
      <c r="ES153" s="101" t="str">
        <f aca="false">IF(AND(Tasks[[#This Row],[_IsLeaf]]=1,Tasks[[#This Row],[_LeafProgress]]&gt;=1),IF(N(Tasks[[#This Row],[Actual Finish]])&gt;0,Tasks[[#This Row],[Actual Finish]],Tasks[[#This Row],[_ShownFcstFinish]]),"")</f>
        <v/>
      </c>
      <c r="ET153" s="41" t="n">
        <f aca="false">IF(Tasks[[#This Row],[_IsLeaf]]=1,N(Tasks[[#This Row],[Story Points]]),0)</f>
        <v>0</v>
      </c>
      <c r="EU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29"/>
      <c r="O154" s="29"/>
      <c r="P154" s="29"/>
      <c r="Q154" s="29"/>
      <c r="R154" s="29"/>
      <c r="S154" s="29"/>
      <c r="T154" s="30"/>
      <c r="U154" s="75"/>
      <c r="V154" s="75"/>
      <c r="W154" s="25" t="str">
        <f aca="false">IF(Tasks[[#This Row],[Task Name]]="","",IF(N(Tasks[[#This Row],[Baseline Start]])&gt;0,Tasks[[#This Row],[Baseline Start]],Tasks[[#This Row],[_CalcStart]]))</f>
        <v/>
      </c>
      <c r="X154" s="25" t="str">
        <f aca="false">IF(Tasks[[#This Row],[Task Name]]="","",IF(N(Tasks[[#This Row],[Baseline Finish]])&gt;0,Tasks[[#This Row],[Baseline Finish]],Tasks[[#This Row],[_CalcFinish]]))</f>
        <v/>
      </c>
      <c r="Y154" s="75"/>
      <c r="Z154" s="75"/>
      <c r="AA154" s="25" t="str">
        <f aca="false">IF(Tasks[[#This Row],[Task Name]]="","",IF(Tasks[[#This Row],[_IsSummary]],MIN(INDEX(Tasks[_ShownFcstStart],Tasks[[#This Row],[_Row]]+1):INDEX(Tasks[_ShownFcstStart],Tasks[[#This Row],[_Row]]+Tasks[[#This Row],[_Descendants]])),Tasks[[#This Row],[_ShownFcstStart]]))</f>
        <v/>
      </c>
      <c r="AB154" s="25" t="str">
        <f aca="false">IF(Tasks[[#This Row],[Task Name]]="","",IF(Tasks[[#This Row],[_IsSummary]],MAX(INDEX(Tasks[_ShownFcstFinish],Tasks[[#This Row],[_Row]]+1):INDEX(Tasks[_ShownFcstFinish],Tasks[[#This Row],[_Row]]+Tasks[[#This Row],[_Descendants]])),Tasks[[#This Row],[_ShownFcstFinish]]))</f>
        <v/>
      </c>
      <c r="AC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4" s="25" t="str">
        <f aca="false">IF(Tasks[[#This Row],[Task Name]]="","",IF(Tasks[[#This Row],[_IsSummary]],MIN(INDEX(Tasks[_LeafLateStart],Tasks[[#This Row],[_Row]]+1):INDEX(Tasks[_LeafLateStart],Tasks[[#This Row],[_Row]]+Tasks[[#This Row],[_Descendants]])),Tasks[[#This Row],[_LeafLateStart]]))</f>
        <v/>
      </c>
      <c r="AF154" s="25" t="str">
        <f aca="false">IF(Tasks[[#This Row],[Task Name]]="","",IF(Tasks[[#This Row],[_IsSummary]],MAX(INDEX(Tasks[_LeafLateFinish],Tasks[[#This Row],[_Row]]+1):INDEX(Tasks[_LeafLateFinish],Tasks[[#This Row],[_Row]]+Tasks[[#This Row],[_Descendants]])),Tasks[[#This Row],[_LeafLateFinish]]))</f>
        <v/>
      </c>
      <c r="AG154" s="28" t="str">
        <f aca="false">IF(Tasks[[#This Row],[Task Name]]="","",IF(Tasks[[#This Row],[_IsSummary]],MIN(INDEX(Tasks[_LeafTotalSlack],Tasks[[#This Row],[_Row]]+1):INDEX(Tasks[_LeafTotalSlack],Tasks[[#This Row],[_Row]]+Tasks[[#This Row],[_Descendants]])),Tasks[[#This Row],[_LeafTotalSlack]]))</f>
        <v/>
      </c>
      <c r="AH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4" s="28" t="str">
        <f aca="false">IF(Tasks[[#This Row],[Task Name]]="","",IF(IF(Tasks[[#This Row],[_IsSummary]],COUNTIF(INDEX(Tasks[_LeafCritical],Tasks[[#This Row],[_Row]]+1):INDEX(Tasks[_LeafCritical],Tasks[[#This Row],[_Row]]+Tasks[[#This Row],[_Descendants]]),TRUE())&gt;0,Tasks[[#This Row],[_LeafCritical]]),"Yes",""))</f>
        <v/>
      </c>
      <c r="AJ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4" s="89"/>
      <c r="AM1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4" s="28" t="str">
        <f aca="false">IF(Tasks[[#This Row],[Task Name]]="","",IF(Tasks[[#This Row],[Progress]]&gt;=1,"Complete",IF(OR(N(Tasks[[#This Row],[Actual Start]])&gt;0,Tasks[[#This Row],[Progress]]&gt;0),IF(Tasks[[#This Row],[Finish Var]]&gt;0,"Behind","In Progress"),IF(Tasks[[#This Row],[Planned Start]]&lt;StatusDate,"Late Start","Not Started"))))</f>
        <v/>
      </c>
      <c r="AO154" s="30"/>
      <c r="AP154" s="89"/>
      <c r="AQ1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4" s="96" t="str">
        <f aca="false">IF(Tasks[[#This Row],[Task Name]]="","",IF(Tasks[[#This Row],[_IsSummary]],SUM(INDEX(Tasks[_LeafTotalWork],Tasks[[#This Row],[_Row]]+1):INDEX(Tasks[_LeafTotalWork],Tasks[[#This Row],[_Row]]+Tasks[[#This Row],[_Descendants]])),Tasks[[#This Row],[_LeafTotalWork]]))</f>
        <v/>
      </c>
      <c r="AT154" s="97" t="str">
        <f aca="false">IF(Tasks[[#This Row],[Task Name]]="","",IF(Tasks[[#This Row],[_IsSummary]],SUM(INDEX(Tasks[_LeafTotalCost],Tasks[[#This Row],[_Row]]+1):INDEX(Tasks[_LeafTotalCost],Tasks[[#This Row],[_Row]]+Tasks[[#This Row],[_Descendants]])),Tasks[[#This Row],[_LeafTotalCost]]))</f>
        <v/>
      </c>
      <c r="AU154" s="98"/>
      <c r="AV154" s="29"/>
      <c r="AW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4" s="83"/>
      <c r="AY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4" s="30"/>
      <c r="BA154" s="25" t="str">
        <f aca="false">IF(Tasks[[#This Row],[Task Name]]="","",Tasks[[#This Row],[Forecast Start]])</f>
        <v/>
      </c>
      <c r="BB154" s="25" t="str">
        <f aca="false">IF(Tasks[[#This Row],[Task Name]]="","",Tasks[[#This Row],[Forecast Finish]])</f>
        <v/>
      </c>
      <c r="BC154" s="28" t="str">
        <f aca="false">IF(Tasks[[#This Row],[Task Name]]="","",IF(Tasks[[#This Row],[_IsSummary]],NETWORKDAYS.INTL(Tasks[[#This Row],[Forecast Start]],Tasks[[#This Row],[Forecast Finish]],WorkWeek,Holidays),N(Tasks[[#This Row],[Duration]])))</f>
        <v/>
      </c>
      <c r="BD154" s="96" t="str">
        <f aca="false">IF(Tasks[[#This Row],[Task Name]]="","",Tasks[[#This Row],[Work]])</f>
        <v/>
      </c>
      <c r="BE154" s="97" t="str">
        <f aca="false">IF(Tasks[[#This Row],[Task Name]]="","",Tasks[[#This Row],[Cost]])</f>
        <v/>
      </c>
      <c r="BF154" s="75"/>
      <c r="BG154" s="75"/>
      <c r="BH154" s="29"/>
      <c r="BI154" s="99"/>
      <c r="BJ154" s="98"/>
      <c r="BK154" s="28" t="str">
        <f aca="false">IF(OR(Tasks[[#This Row],[Task Name]]="",Tasks[[#This Row],[Baseline Duration]]=""),"",Tasks[[#This Row],[BL Source Duration]]-N(Tasks[[#This Row],[Baseline Duration]]))</f>
        <v/>
      </c>
      <c r="BL154" s="96" t="str">
        <f aca="false">IF(OR(Tasks[[#This Row],[Task Name]]="",Tasks[[#This Row],[Baseline Work]]=""),"",Tasks[[#This Row],[Work]]-N(Tasks[[#This Row],[Baseline Work]]))</f>
        <v/>
      </c>
      <c r="BM154" s="97" t="str">
        <f aca="false">IF(OR(Tasks[[#This Row],[Task Name]]="",Tasks[[#This Row],[Baseline Cost]]=""),"",Tasks[[#This Row],[Cost]]-N(Tasks[[#This Row],[Baseline Cost]]))</f>
        <v/>
      </c>
      <c r="BN154" s="97" t="str">
        <f aca="false">IF(Tasks[[#This Row],[Task Name]]="","",IF(Tasks[[#This Row],[_IsSummary]],SUM(INDEX(Tasks[_LeafBudget],Tasks[[#This Row],[_Row]]+1):INDEX(Tasks[_LeafBudget],Tasks[[#This Row],[_Row]]+Tasks[[#This Row],[_Descendants]])),Tasks[[#This Row],[_LeafBudget]]))</f>
        <v/>
      </c>
      <c r="BO154" s="97" t="str">
        <f aca="false">IF(Tasks[[#This Row],[Task Name]]="","",IF(Tasks[[#This Row],[_IsSummary]],SUM(INDEX(Tasks[_LeafPV],Tasks[[#This Row],[_Row]]+1):INDEX(Tasks[_LeafPV],Tasks[[#This Row],[_Row]]+Tasks[[#This Row],[_Descendants]])),Tasks[[#This Row],[_LeafPV]]))</f>
        <v/>
      </c>
      <c r="BP154" s="97" t="str">
        <f aca="false">IF(Tasks[[#This Row],[Task Name]]="","",IF(Tasks[[#This Row],[_IsSummary]],SUM(INDEX(Tasks[_LeafEV],Tasks[[#This Row],[_Row]]+1):INDEX(Tasks[_LeafEV],Tasks[[#This Row],[_Row]]+Tasks[[#This Row],[_Descendants]])),Tasks[[#This Row],[_LeafEV]]))</f>
        <v/>
      </c>
      <c r="BQ154" s="97" t="str">
        <f aca="false">IF(Tasks[[#This Row],[Task Name]]="","",IF(Tasks[[#This Row],[_IsSummary]],SUM(INDEX(Tasks[_LeafAC],Tasks[[#This Row],[_Row]]+1):INDEX(Tasks[_LeafAC],Tasks[[#This Row],[_Row]]+Tasks[[#This Row],[_Descendants]])),Tasks[[#This Row],[_LeafAC]]))</f>
        <v/>
      </c>
      <c r="BR154" s="41" t="str">
        <f aca="false">IF(Tasks[[#This Row],[Task Name]]="","",MAX(1,N(Tasks[[#This Row],[Level]])))</f>
        <v/>
      </c>
      <c r="BS154" s="41" t="n">
        <f aca="false">ROW()-ROW(Tasks[[#Headers],[ID]])</f>
        <v>149</v>
      </c>
      <c r="BT154" s="41" t="n">
        <f aca="false">IF(OR(Tasks[[#This Row],[Task Name]]="",Tasks[[#This Row],[_Level]]&lt;=1),0,IFERROR(LOOKUP(2,1/(Tasks[[#Headers],[_Level]]:Tasks[[#This Row],[_Level]]=Tasks[[#This Row],[_Level]]-1),ROW(Tasks[[#Headers],[_Level]]:Tasks[[#This Row],[_Level]])),0))</f>
        <v>0</v>
      </c>
      <c r="BU154" s="41" t="n">
        <f aca="false">IFERROR(N(INDEX(Tasks[_Level],Tasks[[#This Row],[_Row]]+1)),0)</f>
        <v>0</v>
      </c>
      <c r="BV154" s="100" t="b">
        <f aca="false">AND(Tasks[[#This Row],[Task Name]]&lt;&gt;"",Tasks[[#This Row],[_NextLevel]]&gt;Tasks[[#This Row],[_Level]])</f>
        <v>0</v>
      </c>
      <c r="BW154" s="41" t="n">
        <f aca="false">IF(Tasks[[#This Row],[_IsSummary]],COUNTIF(Tasks[WBS],Tasks[[#This Row],[WBS]]&amp;".*"),0)</f>
        <v>0</v>
      </c>
      <c r="BX154" s="41" t="n">
        <f aca="false">IF(AND(Tasks[[#This Row],[Task Name]]&lt;&gt;"",NOT(Tasks[[#This Row],[_IsSummary]])),1,0)</f>
        <v>0</v>
      </c>
      <c r="BY154" s="41" t="n">
        <f aca="false">IF(N(Tasks[[#This Row],[Pred1 UID]])=0,0,IFERROR(MATCH(Tasks[[#This Row],[Pred1 UID]],Tasks[UID],0),-1))</f>
        <v>0</v>
      </c>
      <c r="BZ154" s="41" t="n">
        <f aca="false">IF(N(Tasks[[#This Row],[Pred2 UID]])=0,0,IFERROR(MATCH(Tasks[[#This Row],[Pred2 UID]],Tasks[UID],0),-1))</f>
        <v>0</v>
      </c>
      <c r="CA154" s="41" t="n">
        <f aca="false">IF(N(Tasks[[#This Row],[Pred3 UID]])=0,0,IFERROR(MATCH(Tasks[[#This Row],[Pred3 UID]],Tasks[UID],0),-1))</f>
        <v>0</v>
      </c>
      <c r="CB154" s="41" t="n">
        <f aca="false">IF(N(Tasks[[#This Row],[Pred4 UID]])=0,0,IFERROR(MATCH(Tasks[[#This Row],[Pred4 UID]],Tasks[UID],0),-1))</f>
        <v>0</v>
      </c>
      <c r="CC1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4" s="101" t="n">
        <f aca="false">IF(OR(Tasks[[#This Row],[_ConstraintCode]]=2,Tasks[[#This Row],[_ConstraintCode]]=3,Tasks[[#This Row],[_ConstraintCode]]=4,Tasks[[#This Row],[_ConstraintCode]]=6),Tasks[[#This Row],[_ConstraintStart]],0)</f>
        <v>0</v>
      </c>
      <c r="CF154" s="101" t="n">
        <f aca="false">IF(OR(Tasks[[#This Row],[_ConstraintCode]]=2,Tasks[[#This Row],[_ConstraintCode]]=3,Tasks[[#This Row],[_ConstraintCode]]=5,Tasks[[#This Row],[_ConstraintCode]]=7),Tasks[[#This Row],[_ConstraintStart]],2958465)</f>
        <v>2958465</v>
      </c>
      <c r="CG15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4" s="101" t="str">
        <f aca="false">IF(NOT(Tasks[[#This Row],[_IsLeaf]]=1),"",IF(N(Tasks[[#This Row],[Duration]])&lt;=0,Tasks[[#This Row],[_LeafCalcStart]],WORKDAY.INTL(Tasks[[#This Row],[_LeafCalcStart]],Tasks[[#This Row],[Duration]]-1,WorkWeek,Holidays)))</f>
        <v/>
      </c>
      <c r="CI15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4" s="41" t="n">
        <f aca="false">IF(NOT(Tasks[[#This Row],[_IsLeaf]]=1),0,IF(N(Tasks[[#This Row],[Actual Finish]])&gt;0,1,MIN(1,N(Tasks[[#This Row],[% Complete]]))))</f>
        <v>0</v>
      </c>
      <c r="CL154" s="41" t="n">
        <f aca="false">IF(OR(NOT(Tasks[[#This Row],[_IsLeaf]]=1),Tasks[[#This Row],[Resource]]=""),0,N(Tasks[[#This Row],[Duration]])*HoursPerDay*IF(Tasks[[#This Row],[Units]]="",DefaultUnits,Tasks[[#This Row],[Units]]))</f>
        <v>0</v>
      </c>
      <c r="CM154" s="41" t="n">
        <f aca="false">IF(Tasks[[#This Row],[_LeafWork]]=0,0,Tasks[[#This Row],[_LeafWork]]*IFERROR(INDEX(res_Rate,MATCH(Tasks[[#This Row],[Resource]],res_Name,0)),0))</f>
        <v>0</v>
      </c>
      <c r="CN154" s="41" t="n">
        <f aca="false">Tasks[[#This Row],[_LeafWork]]+IF(Tasks[[#This Row],[_IsLeaf]]=1,SUMIFS(asg_Work,asg_TaskUID,Tasks[[#This Row],[UID]],asg_Valid,1),0)</f>
        <v>0</v>
      </c>
      <c r="CO154" s="41" t="n">
        <f aca="false">Tasks[[#This Row],[_LeafCost]]+IF(Tasks[[#This Row],[_IsLeaf]]=1,SUMIFS(asg_Cost,asg_TaskUID,Tasks[[#This Row],[UID]],asg_Valid,1),0)</f>
        <v>0</v>
      </c>
      <c r="CP154" s="41" t="n">
        <f aca="false">IF(Tasks[[#This Row],[_LeafTotalCost]]=0,Tasks[[#This Row],[_LeafAC]],Tasks[[#This Row],[_LeafAC]]*Tasks[[#This Row],[_LeafCost]]/Tasks[[#This Row],[_LeafTotalCost]])</f>
        <v>0</v>
      </c>
      <c r="CQ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4" s="41" t="n">
        <f aca="false">IF(NOT(Tasks[[#This Row],[_IsLeaf]]=1),0,MAX(_xlfn.MAXIFS(Tasks[_Row],Tasks[Pred1 UID],Tasks[[#This Row],[UID]]),_xlfn.MAXIFS(Tasks[_Row],Tasks[Pred2 UID],Tasks[[#This Row],[UID]]),_xlfn.MAXIFS(Tasks[_Row],Tasks[Pred3 UID],Tasks[[#This Row],[UID]]),_xlfn.MAXIFS(Tasks[_Row],Tasks[Pred4 UID],Tasks[[#This Row],[UID]])))</f>
        <v>0</v>
      </c>
      <c r="CZ1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4" s="101" t="str">
        <f aca="false">IF(NOT(Tasks[[#This Row],[_IsLeaf]]=1),"",IF(N(Tasks[[#This Row],[Duration]])&lt;=0,Tasks[[#This Row],[_LeafLateFinish]],WORKDAY.INTL(Tasks[[#This Row],[_LeafLateFinish]],-(Tasks[[#This Row],[Duration]]-1),WorkWeek,Holidays)))</f>
        <v/>
      </c>
      <c r="DC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4" s="100" t="b">
        <f aca="false">AND(Tasks[[#This Row],[_IsLeaf]]=1,Tasks[[#This Row],[_LeafProgress]]&lt;1,N(Tasks[[#This Row],[_LeafTotalSlack]])&lt;=CriticalSlackDays)</f>
        <v>0</v>
      </c>
      <c r="DE154" s="41" t="n">
        <f aca="false">IF(AND(Tasks[[#This Row],[_IsLeaf]]=1,Tasks[[#This Row],[_ConstraintCode]]=1,Tasks[[#This Row],[Mode]]&lt;&gt;"Manual",N(Tasks[[#This Row],[Actual Start]])=0),MAX(0,N(Tasks[[#This Row],[Free Slack]])),0)</f>
        <v>0</v>
      </c>
      <c r="DF154" s="101" t="str">
        <f aca="false">IF(NOT(Tasks[[#This Row],[_IsLeaf]]=1),"",IF(Tasks[[#This Row],[_AlapShift]]=0,Tasks[[#This Row],[_LeafCalcStart]],WORKDAY.INTL(Tasks[[#This Row],[_LeafCalcStart]],Tasks[[#This Row],[_AlapShift]],WorkWeek,Holidays)))</f>
        <v/>
      </c>
      <c r="DG154" s="101" t="str">
        <f aca="false">IF(NOT(Tasks[[#This Row],[_IsLeaf]]=1),"",IF(Tasks[[#This Row],[_AlapShift]]=0,Tasks[[#This Row],[_LeafCalcFinish]],WORKDAY.INTL(Tasks[[#This Row],[_LeafCalcFinish]],Tasks[[#This Row],[_AlapShift]],WorkWeek,Holidays)))</f>
        <v/>
      </c>
      <c r="DH154" s="101" t="str">
        <f aca="false">IF(NOT(Tasks[[#This Row],[_IsLeaf]]=1),"",IF(Tasks[[#This Row],[_AlapShift]]=0,Tasks[[#This Row],[_LeafFcstStart]],WORKDAY.INTL(Tasks[[#This Row],[_LeafFcstStart]],Tasks[[#This Row],[_AlapShift]],WorkWeek,Holidays)))</f>
        <v/>
      </c>
      <c r="DI154" s="101" t="str">
        <f aca="false">IF(NOT(Tasks[[#This Row],[_IsLeaf]]=1),"",IF(Tasks[[#This Row],[_AlapShift]]=0,Tasks[[#This Row],[_LeafFcstFinish]],WORKDAY.INTL(Tasks[[#This Row],[_LeafFcstFinish]],Tasks[[#This Row],[_AlapShift]],WorkWeek,Holidays)))</f>
        <v/>
      </c>
      <c r="DJ154" s="101" t="str">
        <f aca="false">IF(Tasks[[#This Row],[Task Name]]="","",IF(Tasks[[#This Row],[_IsSummary]],MIN(INDEX(Tasks[_ShownCalcStart],Tasks[[#This Row],[_Row]]+1):INDEX(Tasks[_ShownCalcStart],Tasks[[#This Row],[_Row]]+Tasks[[#This Row],[_Descendants]])),Tasks[[#This Row],[_ShownCalcStart]]))</f>
        <v/>
      </c>
      <c r="DK154" s="101" t="str">
        <f aca="false">IF(Tasks[[#This Row],[Task Name]]="","",IF(Tasks[[#This Row],[_IsSummary]],MAX(INDEX(Tasks[_ShownCalcFinish],Tasks[[#This Row],[_Row]]+1):INDEX(Tasks[_ShownCalcFinish],Tasks[[#This Row],[_Row]]+Tasks[[#This Row],[_Descendants]])),Tasks[[#This Row],[_ShownCalcFinish]]))</f>
        <v/>
      </c>
      <c r="D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4" s="41" t="n">
        <f aca="false">IF(AND(Tasks[[#This Row],[_IsLeaf]]=1,Tasks[[#This Row],[_LeafTotalWork]]&gt;0),NETWORKDAYS.INTL(ProjectStart,Tasks[[#This Row],[_ShownFcstStart]],WorkWeek,Holidays),0)</f>
        <v>0</v>
      </c>
      <c r="DY154" s="41" t="n">
        <f aca="false">IF(AND(Tasks[[#This Row],[_IsLeaf]]=1,Tasks[[#This Row],[_LeafTotalWork]]&gt;0),MAX(Tasks[[#This Row],[_StartWorkday]],NETWORKDAYS.INTL(ProjectStart,Tasks[[#This Row],[_ShownFcstFinish]],WorkWeek,Holidays)),0)</f>
        <v>0</v>
      </c>
      <c r="DZ154" s="41" t="n">
        <f aca="false">IF(AND(Tasks[[#This Row],[_IsLeaf]]=1,Tasks[[#This Row],[_LeafTotalWork]]&gt;0),Tasks[[#This Row],[_LeafWork]]/(Tasks[[#This Row],[_FinishWorkday]]-Tasks[[#This Row],[_StartWorkday]]+1),0)</f>
        <v>0</v>
      </c>
      <c r="EA154" s="41" t="n">
        <f aca="false">Tasks[[#This Row],[_WorkPerWorkday]]*(Tasks[[#This Row],[_StartWorkday]]-1)</f>
        <v>-0</v>
      </c>
      <c r="EB154" s="41" t="n">
        <f aca="false">IF(Tasks[[#This Row],[_IsLeaf]]=1,MAX(N(Tasks[[#This Row],[Duration]]),0.1),0)</f>
        <v>0</v>
      </c>
      <c r="EC154" s="41" t="n">
        <f aca="false">Tasks[[#This Row],[_WeightDur]]*Tasks[[#This Row],[_LeafProgress]]</f>
        <v>0</v>
      </c>
      <c r="ED1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4" s="41" t="str">
        <f aca="false">IF(AND(Tasks[[#This Row],[_IsLeaf]]=1,N(Tasks[[#This Row],[Duration]])=0,Tasks[[#This Row],[_LeafProgress]]&lt;1),Tasks[[#This Row],[_ShownFcstFinish]]+Tasks[[#This Row],[_Row]]/100000,"")</f>
        <v/>
      </c>
      <c r="EF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4" s="41" t="n">
        <f aca="false">IF(NOT(Tasks[[#This Row],[_IsLeaf]]=1),0,IF(Tasks[[#This Row],[Baseline Cost]]="",Tasks[[#This Row],[_LeafTotalCost]],N(Tasks[[#This Row],[Baseline Cost]])))</f>
        <v>0</v>
      </c>
      <c r="EH154" s="41" t="n">
        <f aca="false">Tasks[[#This Row],[_LeafBudget]]*Tasks[[#This Row],[_PlannedPct]]</f>
        <v>0</v>
      </c>
      <c r="EI154" s="41" t="n">
        <f aca="false">Tasks[[#This Row],[_LeafBudget]]*Tasks[[#This Row],[_LeafProgress]]</f>
        <v>0</v>
      </c>
      <c r="EJ154" s="41" t="n">
        <f aca="false">IF(NOT(Tasks[[#This Row],[_IsLeaf]]=1),0,IF(Tasks[[#This Row],[Actual Cost]]="",Tasks[[#This Row],[_LeafTotalCost]]*Tasks[[#This Row],[_LeafProgress]],N(Tasks[[#This Row],[Actual Cost]])))</f>
        <v>0</v>
      </c>
      <c r="EK154" s="41" t="str">
        <f aca="false">IF(Tasks[[#This Row],[Task Name]]="","",LEFT(Tasks[[#This Row],[WBS]],FIND(".",Tasks[[#This Row],[WBS]]&amp;".")-1))</f>
        <v/>
      </c>
      <c r="EL154" s="41" t="str">
        <f aca="false">IF(AND(Tasks[[#This Row],[Task Name]]&lt;&gt;"",Tasks[[#This Row],[_Level]]=1),Tasks[[#This Row],[_Row]],"")</f>
        <v/>
      </c>
      <c r="EM154" s="41" t="str">
        <f aca="false">IF(AND(Tasks[[#This Row],[_IsLeaf]]=1,N(Tasks[[#This Row],[Duration]])=0),Tasks[[#This Row],[Planned Finish]]+Tasks[[#This Row],[_Row]]/100000,"")</f>
        <v/>
      </c>
      <c r="EN154" s="41" t="str">
        <f aca="false">IF(AND(Tasks[[#This Row],[_IsLeaf]]=1,Tasks[[#This Row],[_LeafProgress]]&lt;1,OR(N(Tasks[[#This Row],[Finish Var]])&gt;0,Tasks[[#This Row],[Status]]="Late Start")),MAX(0,Tasks[[#This Row],[Finish Var]])+1-Tasks[[#This Row],[_Row]]/1000000,"")</f>
        <v/>
      </c>
      <c r="EO154" s="41" t="str">
        <f aca="false">IF(AND(Tasks[[#This Row],[_IsLeaf]]=1,N(Tasks[[#This Row],[Actual Start]])=0,Tasks[[#This Row],[_ShownFcstStart]]&gt;=StatusDate,Tasks[[#This Row],[_ShownFcstStart]]&lt;=LookaheadEnd),Tasks[[#This Row],[_ShownFcstStart]]+Tasks[[#This Row],[_Row]]/100000,"")</f>
        <v/>
      </c>
      <c r="EP154" s="41" t="str">
        <f aca="false">IF(AND(Tasks[[#This Row],[_IsLeaf]]=1,Tasks[[#This Row],[_LeafProgress]]&lt;1,Tasks[[#This Row],[_ShownFcstFinish]]&gt;=StatusDate,Tasks[[#This Row],[_ShownFcstFinish]]&lt;=LookaheadEnd),Tasks[[#This Row],[_ShownFcstFinish]]+Tasks[[#This Row],[_Row]]/100000,"")</f>
        <v/>
      </c>
      <c r="EQ154" s="41" t="str">
        <f aca="false">IF(Tasks[[#This Row],[_LeafCritical]],Tasks[[#This Row],[_ShownFcstStart]]+Tasks[[#This Row],[_Row]]/100000,"")</f>
        <v/>
      </c>
      <c r="ER154" s="41" t="n">
        <f aca="false">Tasks[[#This Row],[_LeafWork]]*Tasks[[#This Row],[_LeafProgress]]</f>
        <v>0</v>
      </c>
      <c r="ES154" s="101" t="str">
        <f aca="false">IF(AND(Tasks[[#This Row],[_IsLeaf]]=1,Tasks[[#This Row],[_LeafProgress]]&gt;=1),IF(N(Tasks[[#This Row],[Actual Finish]])&gt;0,Tasks[[#This Row],[Actual Finish]],Tasks[[#This Row],[_ShownFcstFinish]]),"")</f>
        <v/>
      </c>
      <c r="ET154" s="41" t="n">
        <f aca="false">IF(Tasks[[#This Row],[_IsLeaf]]=1,N(Tasks[[#This Row],[Story Points]]),0)</f>
        <v>0</v>
      </c>
      <c r="EU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29"/>
      <c r="O155" s="29"/>
      <c r="P155" s="29"/>
      <c r="Q155" s="29"/>
      <c r="R155" s="29"/>
      <c r="S155" s="29"/>
      <c r="T155" s="30"/>
      <c r="U155" s="75"/>
      <c r="V155" s="75"/>
      <c r="W155" s="25" t="str">
        <f aca="false">IF(Tasks[[#This Row],[Task Name]]="","",IF(N(Tasks[[#This Row],[Baseline Start]])&gt;0,Tasks[[#This Row],[Baseline Start]],Tasks[[#This Row],[_CalcStart]]))</f>
        <v/>
      </c>
      <c r="X155" s="25" t="str">
        <f aca="false">IF(Tasks[[#This Row],[Task Name]]="","",IF(N(Tasks[[#This Row],[Baseline Finish]])&gt;0,Tasks[[#This Row],[Baseline Finish]],Tasks[[#This Row],[_CalcFinish]]))</f>
        <v/>
      </c>
      <c r="Y155" s="75"/>
      <c r="Z155" s="75"/>
      <c r="AA155" s="25" t="str">
        <f aca="false">IF(Tasks[[#This Row],[Task Name]]="","",IF(Tasks[[#This Row],[_IsSummary]],MIN(INDEX(Tasks[_ShownFcstStart],Tasks[[#This Row],[_Row]]+1):INDEX(Tasks[_ShownFcstStart],Tasks[[#This Row],[_Row]]+Tasks[[#This Row],[_Descendants]])),Tasks[[#This Row],[_ShownFcstStart]]))</f>
        <v/>
      </c>
      <c r="AB155" s="25" t="str">
        <f aca="false">IF(Tasks[[#This Row],[Task Name]]="","",IF(Tasks[[#This Row],[_IsSummary]],MAX(INDEX(Tasks[_ShownFcstFinish],Tasks[[#This Row],[_Row]]+1):INDEX(Tasks[_ShownFcstFinish],Tasks[[#This Row],[_Row]]+Tasks[[#This Row],[_Descendants]])),Tasks[[#This Row],[_ShownFcstFinish]]))</f>
        <v/>
      </c>
      <c r="AC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5" s="25" t="str">
        <f aca="false">IF(Tasks[[#This Row],[Task Name]]="","",IF(Tasks[[#This Row],[_IsSummary]],MIN(INDEX(Tasks[_LeafLateStart],Tasks[[#This Row],[_Row]]+1):INDEX(Tasks[_LeafLateStart],Tasks[[#This Row],[_Row]]+Tasks[[#This Row],[_Descendants]])),Tasks[[#This Row],[_LeafLateStart]]))</f>
        <v/>
      </c>
      <c r="AF155" s="25" t="str">
        <f aca="false">IF(Tasks[[#This Row],[Task Name]]="","",IF(Tasks[[#This Row],[_IsSummary]],MAX(INDEX(Tasks[_LeafLateFinish],Tasks[[#This Row],[_Row]]+1):INDEX(Tasks[_LeafLateFinish],Tasks[[#This Row],[_Row]]+Tasks[[#This Row],[_Descendants]])),Tasks[[#This Row],[_LeafLateFinish]]))</f>
        <v/>
      </c>
      <c r="AG155" s="28" t="str">
        <f aca="false">IF(Tasks[[#This Row],[Task Name]]="","",IF(Tasks[[#This Row],[_IsSummary]],MIN(INDEX(Tasks[_LeafTotalSlack],Tasks[[#This Row],[_Row]]+1):INDEX(Tasks[_LeafTotalSlack],Tasks[[#This Row],[_Row]]+Tasks[[#This Row],[_Descendants]])),Tasks[[#This Row],[_LeafTotalSlack]]))</f>
        <v/>
      </c>
      <c r="AH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5" s="28" t="str">
        <f aca="false">IF(Tasks[[#This Row],[Task Name]]="","",IF(IF(Tasks[[#This Row],[_IsSummary]],COUNTIF(INDEX(Tasks[_LeafCritical],Tasks[[#This Row],[_Row]]+1):INDEX(Tasks[_LeafCritical],Tasks[[#This Row],[_Row]]+Tasks[[#This Row],[_Descendants]]),TRUE())&gt;0,Tasks[[#This Row],[_LeafCritical]]),"Yes",""))</f>
        <v/>
      </c>
      <c r="AJ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5" s="89"/>
      <c r="AM1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5" s="28" t="str">
        <f aca="false">IF(Tasks[[#This Row],[Task Name]]="","",IF(Tasks[[#This Row],[Progress]]&gt;=1,"Complete",IF(OR(N(Tasks[[#This Row],[Actual Start]])&gt;0,Tasks[[#This Row],[Progress]]&gt;0),IF(Tasks[[#This Row],[Finish Var]]&gt;0,"Behind","In Progress"),IF(Tasks[[#This Row],[Planned Start]]&lt;StatusDate,"Late Start","Not Started"))))</f>
        <v/>
      </c>
      <c r="AO155" s="30"/>
      <c r="AP155" s="89"/>
      <c r="AQ1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5" s="96" t="str">
        <f aca="false">IF(Tasks[[#This Row],[Task Name]]="","",IF(Tasks[[#This Row],[_IsSummary]],SUM(INDEX(Tasks[_LeafTotalWork],Tasks[[#This Row],[_Row]]+1):INDEX(Tasks[_LeafTotalWork],Tasks[[#This Row],[_Row]]+Tasks[[#This Row],[_Descendants]])),Tasks[[#This Row],[_LeafTotalWork]]))</f>
        <v/>
      </c>
      <c r="AT155" s="97" t="str">
        <f aca="false">IF(Tasks[[#This Row],[Task Name]]="","",IF(Tasks[[#This Row],[_IsSummary]],SUM(INDEX(Tasks[_LeafTotalCost],Tasks[[#This Row],[_Row]]+1):INDEX(Tasks[_LeafTotalCost],Tasks[[#This Row],[_Row]]+Tasks[[#This Row],[_Descendants]])),Tasks[[#This Row],[_LeafTotalCost]]))</f>
        <v/>
      </c>
      <c r="AU155" s="98"/>
      <c r="AV155" s="29"/>
      <c r="AW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5" s="83"/>
      <c r="AY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5" s="30"/>
      <c r="BA155" s="25" t="str">
        <f aca="false">IF(Tasks[[#This Row],[Task Name]]="","",Tasks[[#This Row],[Forecast Start]])</f>
        <v/>
      </c>
      <c r="BB155" s="25" t="str">
        <f aca="false">IF(Tasks[[#This Row],[Task Name]]="","",Tasks[[#This Row],[Forecast Finish]])</f>
        <v/>
      </c>
      <c r="BC155" s="28" t="str">
        <f aca="false">IF(Tasks[[#This Row],[Task Name]]="","",IF(Tasks[[#This Row],[_IsSummary]],NETWORKDAYS.INTL(Tasks[[#This Row],[Forecast Start]],Tasks[[#This Row],[Forecast Finish]],WorkWeek,Holidays),N(Tasks[[#This Row],[Duration]])))</f>
        <v/>
      </c>
      <c r="BD155" s="96" t="str">
        <f aca="false">IF(Tasks[[#This Row],[Task Name]]="","",Tasks[[#This Row],[Work]])</f>
        <v/>
      </c>
      <c r="BE155" s="97" t="str">
        <f aca="false">IF(Tasks[[#This Row],[Task Name]]="","",Tasks[[#This Row],[Cost]])</f>
        <v/>
      </c>
      <c r="BF155" s="75"/>
      <c r="BG155" s="75"/>
      <c r="BH155" s="29"/>
      <c r="BI155" s="99"/>
      <c r="BJ155" s="98"/>
      <c r="BK155" s="28" t="str">
        <f aca="false">IF(OR(Tasks[[#This Row],[Task Name]]="",Tasks[[#This Row],[Baseline Duration]]=""),"",Tasks[[#This Row],[BL Source Duration]]-N(Tasks[[#This Row],[Baseline Duration]]))</f>
        <v/>
      </c>
      <c r="BL155" s="96" t="str">
        <f aca="false">IF(OR(Tasks[[#This Row],[Task Name]]="",Tasks[[#This Row],[Baseline Work]]=""),"",Tasks[[#This Row],[Work]]-N(Tasks[[#This Row],[Baseline Work]]))</f>
        <v/>
      </c>
      <c r="BM155" s="97" t="str">
        <f aca="false">IF(OR(Tasks[[#This Row],[Task Name]]="",Tasks[[#This Row],[Baseline Cost]]=""),"",Tasks[[#This Row],[Cost]]-N(Tasks[[#This Row],[Baseline Cost]]))</f>
        <v/>
      </c>
      <c r="BN155" s="97" t="str">
        <f aca="false">IF(Tasks[[#This Row],[Task Name]]="","",IF(Tasks[[#This Row],[_IsSummary]],SUM(INDEX(Tasks[_LeafBudget],Tasks[[#This Row],[_Row]]+1):INDEX(Tasks[_LeafBudget],Tasks[[#This Row],[_Row]]+Tasks[[#This Row],[_Descendants]])),Tasks[[#This Row],[_LeafBudget]]))</f>
        <v/>
      </c>
      <c r="BO155" s="97" t="str">
        <f aca="false">IF(Tasks[[#This Row],[Task Name]]="","",IF(Tasks[[#This Row],[_IsSummary]],SUM(INDEX(Tasks[_LeafPV],Tasks[[#This Row],[_Row]]+1):INDEX(Tasks[_LeafPV],Tasks[[#This Row],[_Row]]+Tasks[[#This Row],[_Descendants]])),Tasks[[#This Row],[_LeafPV]]))</f>
        <v/>
      </c>
      <c r="BP155" s="97" t="str">
        <f aca="false">IF(Tasks[[#This Row],[Task Name]]="","",IF(Tasks[[#This Row],[_IsSummary]],SUM(INDEX(Tasks[_LeafEV],Tasks[[#This Row],[_Row]]+1):INDEX(Tasks[_LeafEV],Tasks[[#This Row],[_Row]]+Tasks[[#This Row],[_Descendants]])),Tasks[[#This Row],[_LeafEV]]))</f>
        <v/>
      </c>
      <c r="BQ155" s="97" t="str">
        <f aca="false">IF(Tasks[[#This Row],[Task Name]]="","",IF(Tasks[[#This Row],[_IsSummary]],SUM(INDEX(Tasks[_LeafAC],Tasks[[#This Row],[_Row]]+1):INDEX(Tasks[_LeafAC],Tasks[[#This Row],[_Row]]+Tasks[[#This Row],[_Descendants]])),Tasks[[#This Row],[_LeafAC]]))</f>
        <v/>
      </c>
      <c r="BR155" s="41" t="str">
        <f aca="false">IF(Tasks[[#This Row],[Task Name]]="","",MAX(1,N(Tasks[[#This Row],[Level]])))</f>
        <v/>
      </c>
      <c r="BS155" s="41" t="n">
        <f aca="false">ROW()-ROW(Tasks[[#Headers],[ID]])</f>
        <v>150</v>
      </c>
      <c r="BT155" s="41" t="n">
        <f aca="false">IF(OR(Tasks[[#This Row],[Task Name]]="",Tasks[[#This Row],[_Level]]&lt;=1),0,IFERROR(LOOKUP(2,1/(Tasks[[#Headers],[_Level]]:Tasks[[#This Row],[_Level]]=Tasks[[#This Row],[_Level]]-1),ROW(Tasks[[#Headers],[_Level]]:Tasks[[#This Row],[_Level]])),0))</f>
        <v>0</v>
      </c>
      <c r="BU155" s="41" t="n">
        <f aca="false">IFERROR(N(INDEX(Tasks[_Level],Tasks[[#This Row],[_Row]]+1)),0)</f>
        <v>0</v>
      </c>
      <c r="BV155" s="100" t="b">
        <f aca="false">AND(Tasks[[#This Row],[Task Name]]&lt;&gt;"",Tasks[[#This Row],[_NextLevel]]&gt;Tasks[[#This Row],[_Level]])</f>
        <v>0</v>
      </c>
      <c r="BW155" s="41" t="n">
        <f aca="false">IF(Tasks[[#This Row],[_IsSummary]],COUNTIF(Tasks[WBS],Tasks[[#This Row],[WBS]]&amp;".*"),0)</f>
        <v>0</v>
      </c>
      <c r="BX155" s="41" t="n">
        <f aca="false">IF(AND(Tasks[[#This Row],[Task Name]]&lt;&gt;"",NOT(Tasks[[#This Row],[_IsSummary]])),1,0)</f>
        <v>0</v>
      </c>
      <c r="BY155" s="41" t="n">
        <f aca="false">IF(N(Tasks[[#This Row],[Pred1 UID]])=0,0,IFERROR(MATCH(Tasks[[#This Row],[Pred1 UID]],Tasks[UID],0),-1))</f>
        <v>0</v>
      </c>
      <c r="BZ155" s="41" t="n">
        <f aca="false">IF(N(Tasks[[#This Row],[Pred2 UID]])=0,0,IFERROR(MATCH(Tasks[[#This Row],[Pred2 UID]],Tasks[UID],0),-1))</f>
        <v>0</v>
      </c>
      <c r="CA155" s="41" t="n">
        <f aca="false">IF(N(Tasks[[#This Row],[Pred3 UID]])=0,0,IFERROR(MATCH(Tasks[[#This Row],[Pred3 UID]],Tasks[UID],0),-1))</f>
        <v>0</v>
      </c>
      <c r="CB155" s="41" t="n">
        <f aca="false">IF(N(Tasks[[#This Row],[Pred4 UID]])=0,0,IFERROR(MATCH(Tasks[[#This Row],[Pred4 UID]],Tasks[UID],0),-1))</f>
        <v>0</v>
      </c>
      <c r="CC1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5" s="101" t="n">
        <f aca="false">IF(OR(Tasks[[#This Row],[_ConstraintCode]]=2,Tasks[[#This Row],[_ConstraintCode]]=3,Tasks[[#This Row],[_ConstraintCode]]=4,Tasks[[#This Row],[_ConstraintCode]]=6),Tasks[[#This Row],[_ConstraintStart]],0)</f>
        <v>0</v>
      </c>
      <c r="CF155" s="101" t="n">
        <f aca="false">IF(OR(Tasks[[#This Row],[_ConstraintCode]]=2,Tasks[[#This Row],[_ConstraintCode]]=3,Tasks[[#This Row],[_ConstraintCode]]=5,Tasks[[#This Row],[_ConstraintCode]]=7),Tasks[[#This Row],[_ConstraintStart]],2958465)</f>
        <v>2958465</v>
      </c>
      <c r="CG15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5" s="101" t="str">
        <f aca="false">IF(NOT(Tasks[[#This Row],[_IsLeaf]]=1),"",IF(N(Tasks[[#This Row],[Duration]])&lt;=0,Tasks[[#This Row],[_LeafCalcStart]],WORKDAY.INTL(Tasks[[#This Row],[_LeafCalcStart]],Tasks[[#This Row],[Duration]]-1,WorkWeek,Holidays)))</f>
        <v/>
      </c>
      <c r="CI15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5" s="41" t="n">
        <f aca="false">IF(NOT(Tasks[[#This Row],[_IsLeaf]]=1),0,IF(N(Tasks[[#This Row],[Actual Finish]])&gt;0,1,MIN(1,N(Tasks[[#This Row],[% Complete]]))))</f>
        <v>0</v>
      </c>
      <c r="CL155" s="41" t="n">
        <f aca="false">IF(OR(NOT(Tasks[[#This Row],[_IsLeaf]]=1),Tasks[[#This Row],[Resource]]=""),0,N(Tasks[[#This Row],[Duration]])*HoursPerDay*IF(Tasks[[#This Row],[Units]]="",DefaultUnits,Tasks[[#This Row],[Units]]))</f>
        <v>0</v>
      </c>
      <c r="CM155" s="41" t="n">
        <f aca="false">IF(Tasks[[#This Row],[_LeafWork]]=0,0,Tasks[[#This Row],[_LeafWork]]*IFERROR(INDEX(res_Rate,MATCH(Tasks[[#This Row],[Resource]],res_Name,0)),0))</f>
        <v>0</v>
      </c>
      <c r="CN155" s="41" t="n">
        <f aca="false">Tasks[[#This Row],[_LeafWork]]+IF(Tasks[[#This Row],[_IsLeaf]]=1,SUMIFS(asg_Work,asg_TaskUID,Tasks[[#This Row],[UID]],asg_Valid,1),0)</f>
        <v>0</v>
      </c>
      <c r="CO155" s="41" t="n">
        <f aca="false">Tasks[[#This Row],[_LeafCost]]+IF(Tasks[[#This Row],[_IsLeaf]]=1,SUMIFS(asg_Cost,asg_TaskUID,Tasks[[#This Row],[UID]],asg_Valid,1),0)</f>
        <v>0</v>
      </c>
      <c r="CP155" s="41" t="n">
        <f aca="false">IF(Tasks[[#This Row],[_LeafTotalCost]]=0,Tasks[[#This Row],[_LeafAC]],Tasks[[#This Row],[_LeafAC]]*Tasks[[#This Row],[_LeafCost]]/Tasks[[#This Row],[_LeafTotalCost]])</f>
        <v>0</v>
      </c>
      <c r="CQ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5" s="41" t="n">
        <f aca="false">IF(NOT(Tasks[[#This Row],[_IsLeaf]]=1),0,MAX(_xlfn.MAXIFS(Tasks[_Row],Tasks[Pred1 UID],Tasks[[#This Row],[UID]]),_xlfn.MAXIFS(Tasks[_Row],Tasks[Pred2 UID],Tasks[[#This Row],[UID]]),_xlfn.MAXIFS(Tasks[_Row],Tasks[Pred3 UID],Tasks[[#This Row],[UID]]),_xlfn.MAXIFS(Tasks[_Row],Tasks[Pred4 UID],Tasks[[#This Row],[UID]])))</f>
        <v>0</v>
      </c>
      <c r="CZ1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5" s="101" t="str">
        <f aca="false">IF(NOT(Tasks[[#This Row],[_IsLeaf]]=1),"",IF(N(Tasks[[#This Row],[Duration]])&lt;=0,Tasks[[#This Row],[_LeafLateFinish]],WORKDAY.INTL(Tasks[[#This Row],[_LeafLateFinish]],-(Tasks[[#This Row],[Duration]]-1),WorkWeek,Holidays)))</f>
        <v/>
      </c>
      <c r="DC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5" s="100" t="b">
        <f aca="false">AND(Tasks[[#This Row],[_IsLeaf]]=1,Tasks[[#This Row],[_LeafProgress]]&lt;1,N(Tasks[[#This Row],[_LeafTotalSlack]])&lt;=CriticalSlackDays)</f>
        <v>0</v>
      </c>
      <c r="DE155" s="41" t="n">
        <f aca="false">IF(AND(Tasks[[#This Row],[_IsLeaf]]=1,Tasks[[#This Row],[_ConstraintCode]]=1,Tasks[[#This Row],[Mode]]&lt;&gt;"Manual",N(Tasks[[#This Row],[Actual Start]])=0),MAX(0,N(Tasks[[#This Row],[Free Slack]])),0)</f>
        <v>0</v>
      </c>
      <c r="DF155" s="101" t="str">
        <f aca="false">IF(NOT(Tasks[[#This Row],[_IsLeaf]]=1),"",IF(Tasks[[#This Row],[_AlapShift]]=0,Tasks[[#This Row],[_LeafCalcStart]],WORKDAY.INTL(Tasks[[#This Row],[_LeafCalcStart]],Tasks[[#This Row],[_AlapShift]],WorkWeek,Holidays)))</f>
        <v/>
      </c>
      <c r="DG155" s="101" t="str">
        <f aca="false">IF(NOT(Tasks[[#This Row],[_IsLeaf]]=1),"",IF(Tasks[[#This Row],[_AlapShift]]=0,Tasks[[#This Row],[_LeafCalcFinish]],WORKDAY.INTL(Tasks[[#This Row],[_LeafCalcFinish]],Tasks[[#This Row],[_AlapShift]],WorkWeek,Holidays)))</f>
        <v/>
      </c>
      <c r="DH155" s="101" t="str">
        <f aca="false">IF(NOT(Tasks[[#This Row],[_IsLeaf]]=1),"",IF(Tasks[[#This Row],[_AlapShift]]=0,Tasks[[#This Row],[_LeafFcstStart]],WORKDAY.INTL(Tasks[[#This Row],[_LeafFcstStart]],Tasks[[#This Row],[_AlapShift]],WorkWeek,Holidays)))</f>
        <v/>
      </c>
      <c r="DI155" s="101" t="str">
        <f aca="false">IF(NOT(Tasks[[#This Row],[_IsLeaf]]=1),"",IF(Tasks[[#This Row],[_AlapShift]]=0,Tasks[[#This Row],[_LeafFcstFinish]],WORKDAY.INTL(Tasks[[#This Row],[_LeafFcstFinish]],Tasks[[#This Row],[_AlapShift]],WorkWeek,Holidays)))</f>
        <v/>
      </c>
      <c r="DJ155" s="101" t="str">
        <f aca="false">IF(Tasks[[#This Row],[Task Name]]="","",IF(Tasks[[#This Row],[_IsSummary]],MIN(INDEX(Tasks[_ShownCalcStart],Tasks[[#This Row],[_Row]]+1):INDEX(Tasks[_ShownCalcStart],Tasks[[#This Row],[_Row]]+Tasks[[#This Row],[_Descendants]])),Tasks[[#This Row],[_ShownCalcStart]]))</f>
        <v/>
      </c>
      <c r="DK155" s="101" t="str">
        <f aca="false">IF(Tasks[[#This Row],[Task Name]]="","",IF(Tasks[[#This Row],[_IsSummary]],MAX(INDEX(Tasks[_ShownCalcFinish],Tasks[[#This Row],[_Row]]+1):INDEX(Tasks[_ShownCalcFinish],Tasks[[#This Row],[_Row]]+Tasks[[#This Row],[_Descendants]])),Tasks[[#This Row],[_ShownCalcFinish]]))</f>
        <v/>
      </c>
      <c r="D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5" s="41" t="n">
        <f aca="false">IF(AND(Tasks[[#This Row],[_IsLeaf]]=1,Tasks[[#This Row],[_LeafTotalWork]]&gt;0),NETWORKDAYS.INTL(ProjectStart,Tasks[[#This Row],[_ShownFcstStart]],WorkWeek,Holidays),0)</f>
        <v>0</v>
      </c>
      <c r="DY155" s="41" t="n">
        <f aca="false">IF(AND(Tasks[[#This Row],[_IsLeaf]]=1,Tasks[[#This Row],[_LeafTotalWork]]&gt;0),MAX(Tasks[[#This Row],[_StartWorkday]],NETWORKDAYS.INTL(ProjectStart,Tasks[[#This Row],[_ShownFcstFinish]],WorkWeek,Holidays)),0)</f>
        <v>0</v>
      </c>
      <c r="DZ155" s="41" t="n">
        <f aca="false">IF(AND(Tasks[[#This Row],[_IsLeaf]]=1,Tasks[[#This Row],[_LeafTotalWork]]&gt;0),Tasks[[#This Row],[_LeafWork]]/(Tasks[[#This Row],[_FinishWorkday]]-Tasks[[#This Row],[_StartWorkday]]+1),0)</f>
        <v>0</v>
      </c>
      <c r="EA155" s="41" t="n">
        <f aca="false">Tasks[[#This Row],[_WorkPerWorkday]]*(Tasks[[#This Row],[_StartWorkday]]-1)</f>
        <v>-0</v>
      </c>
      <c r="EB155" s="41" t="n">
        <f aca="false">IF(Tasks[[#This Row],[_IsLeaf]]=1,MAX(N(Tasks[[#This Row],[Duration]]),0.1),0)</f>
        <v>0</v>
      </c>
      <c r="EC155" s="41" t="n">
        <f aca="false">Tasks[[#This Row],[_WeightDur]]*Tasks[[#This Row],[_LeafProgress]]</f>
        <v>0</v>
      </c>
      <c r="ED1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5" s="41" t="str">
        <f aca="false">IF(AND(Tasks[[#This Row],[_IsLeaf]]=1,N(Tasks[[#This Row],[Duration]])=0,Tasks[[#This Row],[_LeafProgress]]&lt;1),Tasks[[#This Row],[_ShownFcstFinish]]+Tasks[[#This Row],[_Row]]/100000,"")</f>
        <v/>
      </c>
      <c r="EF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5" s="41" t="n">
        <f aca="false">IF(NOT(Tasks[[#This Row],[_IsLeaf]]=1),0,IF(Tasks[[#This Row],[Baseline Cost]]="",Tasks[[#This Row],[_LeafTotalCost]],N(Tasks[[#This Row],[Baseline Cost]])))</f>
        <v>0</v>
      </c>
      <c r="EH155" s="41" t="n">
        <f aca="false">Tasks[[#This Row],[_LeafBudget]]*Tasks[[#This Row],[_PlannedPct]]</f>
        <v>0</v>
      </c>
      <c r="EI155" s="41" t="n">
        <f aca="false">Tasks[[#This Row],[_LeafBudget]]*Tasks[[#This Row],[_LeafProgress]]</f>
        <v>0</v>
      </c>
      <c r="EJ155" s="41" t="n">
        <f aca="false">IF(NOT(Tasks[[#This Row],[_IsLeaf]]=1),0,IF(Tasks[[#This Row],[Actual Cost]]="",Tasks[[#This Row],[_LeafTotalCost]]*Tasks[[#This Row],[_LeafProgress]],N(Tasks[[#This Row],[Actual Cost]])))</f>
        <v>0</v>
      </c>
      <c r="EK155" s="41" t="str">
        <f aca="false">IF(Tasks[[#This Row],[Task Name]]="","",LEFT(Tasks[[#This Row],[WBS]],FIND(".",Tasks[[#This Row],[WBS]]&amp;".")-1))</f>
        <v/>
      </c>
      <c r="EL155" s="41" t="str">
        <f aca="false">IF(AND(Tasks[[#This Row],[Task Name]]&lt;&gt;"",Tasks[[#This Row],[_Level]]=1),Tasks[[#This Row],[_Row]],"")</f>
        <v/>
      </c>
      <c r="EM155" s="41" t="str">
        <f aca="false">IF(AND(Tasks[[#This Row],[_IsLeaf]]=1,N(Tasks[[#This Row],[Duration]])=0),Tasks[[#This Row],[Planned Finish]]+Tasks[[#This Row],[_Row]]/100000,"")</f>
        <v/>
      </c>
      <c r="EN155" s="41" t="str">
        <f aca="false">IF(AND(Tasks[[#This Row],[_IsLeaf]]=1,Tasks[[#This Row],[_LeafProgress]]&lt;1,OR(N(Tasks[[#This Row],[Finish Var]])&gt;0,Tasks[[#This Row],[Status]]="Late Start")),MAX(0,Tasks[[#This Row],[Finish Var]])+1-Tasks[[#This Row],[_Row]]/1000000,"")</f>
        <v/>
      </c>
      <c r="EO155" s="41" t="str">
        <f aca="false">IF(AND(Tasks[[#This Row],[_IsLeaf]]=1,N(Tasks[[#This Row],[Actual Start]])=0,Tasks[[#This Row],[_ShownFcstStart]]&gt;=StatusDate,Tasks[[#This Row],[_ShownFcstStart]]&lt;=LookaheadEnd),Tasks[[#This Row],[_ShownFcstStart]]+Tasks[[#This Row],[_Row]]/100000,"")</f>
        <v/>
      </c>
      <c r="EP155" s="41" t="str">
        <f aca="false">IF(AND(Tasks[[#This Row],[_IsLeaf]]=1,Tasks[[#This Row],[_LeafProgress]]&lt;1,Tasks[[#This Row],[_ShownFcstFinish]]&gt;=StatusDate,Tasks[[#This Row],[_ShownFcstFinish]]&lt;=LookaheadEnd),Tasks[[#This Row],[_ShownFcstFinish]]+Tasks[[#This Row],[_Row]]/100000,"")</f>
        <v/>
      </c>
      <c r="EQ155" s="41" t="str">
        <f aca="false">IF(Tasks[[#This Row],[_LeafCritical]],Tasks[[#This Row],[_ShownFcstStart]]+Tasks[[#This Row],[_Row]]/100000,"")</f>
        <v/>
      </c>
      <c r="ER155" s="41" t="n">
        <f aca="false">Tasks[[#This Row],[_LeafWork]]*Tasks[[#This Row],[_LeafProgress]]</f>
        <v>0</v>
      </c>
      <c r="ES155" s="101" t="str">
        <f aca="false">IF(AND(Tasks[[#This Row],[_IsLeaf]]=1,Tasks[[#This Row],[_LeafProgress]]&gt;=1),IF(N(Tasks[[#This Row],[Actual Finish]])&gt;0,Tasks[[#This Row],[Actual Finish]],Tasks[[#This Row],[_ShownFcstFinish]]),"")</f>
        <v/>
      </c>
      <c r="ET155" s="41" t="n">
        <f aca="false">IF(Tasks[[#This Row],[_IsLeaf]]=1,N(Tasks[[#This Row],[Story Points]]),0)</f>
        <v>0</v>
      </c>
      <c r="EU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29"/>
      <c r="O156" s="29"/>
      <c r="P156" s="29"/>
      <c r="Q156" s="29"/>
      <c r="R156" s="29"/>
      <c r="S156" s="29"/>
      <c r="T156" s="30"/>
      <c r="U156" s="75"/>
      <c r="V156" s="75"/>
      <c r="W156" s="25" t="str">
        <f aca="false">IF(Tasks[[#This Row],[Task Name]]="","",IF(N(Tasks[[#This Row],[Baseline Start]])&gt;0,Tasks[[#This Row],[Baseline Start]],Tasks[[#This Row],[_CalcStart]]))</f>
        <v/>
      </c>
      <c r="X156" s="25" t="str">
        <f aca="false">IF(Tasks[[#This Row],[Task Name]]="","",IF(N(Tasks[[#This Row],[Baseline Finish]])&gt;0,Tasks[[#This Row],[Baseline Finish]],Tasks[[#This Row],[_CalcFinish]]))</f>
        <v/>
      </c>
      <c r="Y156" s="75"/>
      <c r="Z156" s="75"/>
      <c r="AA156" s="25" t="str">
        <f aca="false">IF(Tasks[[#This Row],[Task Name]]="","",IF(Tasks[[#This Row],[_IsSummary]],MIN(INDEX(Tasks[_ShownFcstStart],Tasks[[#This Row],[_Row]]+1):INDEX(Tasks[_ShownFcstStart],Tasks[[#This Row],[_Row]]+Tasks[[#This Row],[_Descendants]])),Tasks[[#This Row],[_ShownFcstStart]]))</f>
        <v/>
      </c>
      <c r="AB156" s="25" t="str">
        <f aca="false">IF(Tasks[[#This Row],[Task Name]]="","",IF(Tasks[[#This Row],[_IsSummary]],MAX(INDEX(Tasks[_ShownFcstFinish],Tasks[[#This Row],[_Row]]+1):INDEX(Tasks[_ShownFcstFinish],Tasks[[#This Row],[_Row]]+Tasks[[#This Row],[_Descendants]])),Tasks[[#This Row],[_ShownFcstFinish]]))</f>
        <v/>
      </c>
      <c r="AC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6" s="25" t="str">
        <f aca="false">IF(Tasks[[#This Row],[Task Name]]="","",IF(Tasks[[#This Row],[_IsSummary]],MIN(INDEX(Tasks[_LeafLateStart],Tasks[[#This Row],[_Row]]+1):INDEX(Tasks[_LeafLateStart],Tasks[[#This Row],[_Row]]+Tasks[[#This Row],[_Descendants]])),Tasks[[#This Row],[_LeafLateStart]]))</f>
        <v/>
      </c>
      <c r="AF156" s="25" t="str">
        <f aca="false">IF(Tasks[[#This Row],[Task Name]]="","",IF(Tasks[[#This Row],[_IsSummary]],MAX(INDEX(Tasks[_LeafLateFinish],Tasks[[#This Row],[_Row]]+1):INDEX(Tasks[_LeafLateFinish],Tasks[[#This Row],[_Row]]+Tasks[[#This Row],[_Descendants]])),Tasks[[#This Row],[_LeafLateFinish]]))</f>
        <v/>
      </c>
      <c r="AG156" s="28" t="str">
        <f aca="false">IF(Tasks[[#This Row],[Task Name]]="","",IF(Tasks[[#This Row],[_IsSummary]],MIN(INDEX(Tasks[_LeafTotalSlack],Tasks[[#This Row],[_Row]]+1):INDEX(Tasks[_LeafTotalSlack],Tasks[[#This Row],[_Row]]+Tasks[[#This Row],[_Descendants]])),Tasks[[#This Row],[_LeafTotalSlack]]))</f>
        <v/>
      </c>
      <c r="AH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6" s="28" t="str">
        <f aca="false">IF(Tasks[[#This Row],[Task Name]]="","",IF(IF(Tasks[[#This Row],[_IsSummary]],COUNTIF(INDEX(Tasks[_LeafCritical],Tasks[[#This Row],[_Row]]+1):INDEX(Tasks[_LeafCritical],Tasks[[#This Row],[_Row]]+Tasks[[#This Row],[_Descendants]]),TRUE())&gt;0,Tasks[[#This Row],[_LeafCritical]]),"Yes",""))</f>
        <v/>
      </c>
      <c r="AJ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6" s="89"/>
      <c r="AM1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6" s="28" t="str">
        <f aca="false">IF(Tasks[[#This Row],[Task Name]]="","",IF(Tasks[[#This Row],[Progress]]&gt;=1,"Complete",IF(OR(N(Tasks[[#This Row],[Actual Start]])&gt;0,Tasks[[#This Row],[Progress]]&gt;0),IF(Tasks[[#This Row],[Finish Var]]&gt;0,"Behind","In Progress"),IF(Tasks[[#This Row],[Planned Start]]&lt;StatusDate,"Late Start","Not Started"))))</f>
        <v/>
      </c>
      <c r="AO156" s="30"/>
      <c r="AP156" s="89"/>
      <c r="AQ1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6" s="96" t="str">
        <f aca="false">IF(Tasks[[#This Row],[Task Name]]="","",IF(Tasks[[#This Row],[_IsSummary]],SUM(INDEX(Tasks[_LeafTotalWork],Tasks[[#This Row],[_Row]]+1):INDEX(Tasks[_LeafTotalWork],Tasks[[#This Row],[_Row]]+Tasks[[#This Row],[_Descendants]])),Tasks[[#This Row],[_LeafTotalWork]]))</f>
        <v/>
      </c>
      <c r="AT156" s="97" t="str">
        <f aca="false">IF(Tasks[[#This Row],[Task Name]]="","",IF(Tasks[[#This Row],[_IsSummary]],SUM(INDEX(Tasks[_LeafTotalCost],Tasks[[#This Row],[_Row]]+1):INDEX(Tasks[_LeafTotalCost],Tasks[[#This Row],[_Row]]+Tasks[[#This Row],[_Descendants]])),Tasks[[#This Row],[_LeafTotalCost]]))</f>
        <v/>
      </c>
      <c r="AU156" s="98"/>
      <c r="AV156" s="29"/>
      <c r="AW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6" s="83"/>
      <c r="AY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6" s="30"/>
      <c r="BA156" s="25" t="str">
        <f aca="false">IF(Tasks[[#This Row],[Task Name]]="","",Tasks[[#This Row],[Forecast Start]])</f>
        <v/>
      </c>
      <c r="BB156" s="25" t="str">
        <f aca="false">IF(Tasks[[#This Row],[Task Name]]="","",Tasks[[#This Row],[Forecast Finish]])</f>
        <v/>
      </c>
      <c r="BC156" s="28" t="str">
        <f aca="false">IF(Tasks[[#This Row],[Task Name]]="","",IF(Tasks[[#This Row],[_IsSummary]],NETWORKDAYS.INTL(Tasks[[#This Row],[Forecast Start]],Tasks[[#This Row],[Forecast Finish]],WorkWeek,Holidays),N(Tasks[[#This Row],[Duration]])))</f>
        <v/>
      </c>
      <c r="BD156" s="96" t="str">
        <f aca="false">IF(Tasks[[#This Row],[Task Name]]="","",Tasks[[#This Row],[Work]])</f>
        <v/>
      </c>
      <c r="BE156" s="97" t="str">
        <f aca="false">IF(Tasks[[#This Row],[Task Name]]="","",Tasks[[#This Row],[Cost]])</f>
        <v/>
      </c>
      <c r="BF156" s="75"/>
      <c r="BG156" s="75"/>
      <c r="BH156" s="29"/>
      <c r="BI156" s="99"/>
      <c r="BJ156" s="98"/>
      <c r="BK156" s="28" t="str">
        <f aca="false">IF(OR(Tasks[[#This Row],[Task Name]]="",Tasks[[#This Row],[Baseline Duration]]=""),"",Tasks[[#This Row],[BL Source Duration]]-N(Tasks[[#This Row],[Baseline Duration]]))</f>
        <v/>
      </c>
      <c r="BL156" s="96" t="str">
        <f aca="false">IF(OR(Tasks[[#This Row],[Task Name]]="",Tasks[[#This Row],[Baseline Work]]=""),"",Tasks[[#This Row],[Work]]-N(Tasks[[#This Row],[Baseline Work]]))</f>
        <v/>
      </c>
      <c r="BM156" s="97" t="str">
        <f aca="false">IF(OR(Tasks[[#This Row],[Task Name]]="",Tasks[[#This Row],[Baseline Cost]]=""),"",Tasks[[#This Row],[Cost]]-N(Tasks[[#This Row],[Baseline Cost]]))</f>
        <v/>
      </c>
      <c r="BN156" s="97" t="str">
        <f aca="false">IF(Tasks[[#This Row],[Task Name]]="","",IF(Tasks[[#This Row],[_IsSummary]],SUM(INDEX(Tasks[_LeafBudget],Tasks[[#This Row],[_Row]]+1):INDEX(Tasks[_LeafBudget],Tasks[[#This Row],[_Row]]+Tasks[[#This Row],[_Descendants]])),Tasks[[#This Row],[_LeafBudget]]))</f>
        <v/>
      </c>
      <c r="BO156" s="97" t="str">
        <f aca="false">IF(Tasks[[#This Row],[Task Name]]="","",IF(Tasks[[#This Row],[_IsSummary]],SUM(INDEX(Tasks[_LeafPV],Tasks[[#This Row],[_Row]]+1):INDEX(Tasks[_LeafPV],Tasks[[#This Row],[_Row]]+Tasks[[#This Row],[_Descendants]])),Tasks[[#This Row],[_LeafPV]]))</f>
        <v/>
      </c>
      <c r="BP156" s="97" t="str">
        <f aca="false">IF(Tasks[[#This Row],[Task Name]]="","",IF(Tasks[[#This Row],[_IsSummary]],SUM(INDEX(Tasks[_LeafEV],Tasks[[#This Row],[_Row]]+1):INDEX(Tasks[_LeafEV],Tasks[[#This Row],[_Row]]+Tasks[[#This Row],[_Descendants]])),Tasks[[#This Row],[_LeafEV]]))</f>
        <v/>
      </c>
      <c r="BQ156" s="97" t="str">
        <f aca="false">IF(Tasks[[#This Row],[Task Name]]="","",IF(Tasks[[#This Row],[_IsSummary]],SUM(INDEX(Tasks[_LeafAC],Tasks[[#This Row],[_Row]]+1):INDEX(Tasks[_LeafAC],Tasks[[#This Row],[_Row]]+Tasks[[#This Row],[_Descendants]])),Tasks[[#This Row],[_LeafAC]]))</f>
        <v/>
      </c>
      <c r="BR156" s="41" t="str">
        <f aca="false">IF(Tasks[[#This Row],[Task Name]]="","",MAX(1,N(Tasks[[#This Row],[Level]])))</f>
        <v/>
      </c>
      <c r="BS156" s="41" t="n">
        <f aca="false">ROW()-ROW(Tasks[[#Headers],[ID]])</f>
        <v>151</v>
      </c>
      <c r="BT156" s="41" t="n">
        <f aca="false">IF(OR(Tasks[[#This Row],[Task Name]]="",Tasks[[#This Row],[_Level]]&lt;=1),0,IFERROR(LOOKUP(2,1/(Tasks[[#Headers],[_Level]]:Tasks[[#This Row],[_Level]]=Tasks[[#This Row],[_Level]]-1),ROW(Tasks[[#Headers],[_Level]]:Tasks[[#This Row],[_Level]])),0))</f>
        <v>0</v>
      </c>
      <c r="BU156" s="41" t="n">
        <f aca="false">IFERROR(N(INDEX(Tasks[_Level],Tasks[[#This Row],[_Row]]+1)),0)</f>
        <v>0</v>
      </c>
      <c r="BV156" s="100" t="b">
        <f aca="false">AND(Tasks[[#This Row],[Task Name]]&lt;&gt;"",Tasks[[#This Row],[_NextLevel]]&gt;Tasks[[#This Row],[_Level]])</f>
        <v>0</v>
      </c>
      <c r="BW156" s="41" t="n">
        <f aca="false">IF(Tasks[[#This Row],[_IsSummary]],COUNTIF(Tasks[WBS],Tasks[[#This Row],[WBS]]&amp;".*"),0)</f>
        <v>0</v>
      </c>
      <c r="BX156" s="41" t="n">
        <f aca="false">IF(AND(Tasks[[#This Row],[Task Name]]&lt;&gt;"",NOT(Tasks[[#This Row],[_IsSummary]])),1,0)</f>
        <v>0</v>
      </c>
      <c r="BY156" s="41" t="n">
        <f aca="false">IF(N(Tasks[[#This Row],[Pred1 UID]])=0,0,IFERROR(MATCH(Tasks[[#This Row],[Pred1 UID]],Tasks[UID],0),-1))</f>
        <v>0</v>
      </c>
      <c r="BZ156" s="41" t="n">
        <f aca="false">IF(N(Tasks[[#This Row],[Pred2 UID]])=0,0,IFERROR(MATCH(Tasks[[#This Row],[Pred2 UID]],Tasks[UID],0),-1))</f>
        <v>0</v>
      </c>
      <c r="CA156" s="41" t="n">
        <f aca="false">IF(N(Tasks[[#This Row],[Pred3 UID]])=0,0,IFERROR(MATCH(Tasks[[#This Row],[Pred3 UID]],Tasks[UID],0),-1))</f>
        <v>0</v>
      </c>
      <c r="CB156" s="41" t="n">
        <f aca="false">IF(N(Tasks[[#This Row],[Pred4 UID]])=0,0,IFERROR(MATCH(Tasks[[#This Row],[Pred4 UID]],Tasks[UID],0),-1))</f>
        <v>0</v>
      </c>
      <c r="CC1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6" s="101" t="n">
        <f aca="false">IF(OR(Tasks[[#This Row],[_ConstraintCode]]=2,Tasks[[#This Row],[_ConstraintCode]]=3,Tasks[[#This Row],[_ConstraintCode]]=4,Tasks[[#This Row],[_ConstraintCode]]=6),Tasks[[#This Row],[_ConstraintStart]],0)</f>
        <v>0</v>
      </c>
      <c r="CF156" s="101" t="n">
        <f aca="false">IF(OR(Tasks[[#This Row],[_ConstraintCode]]=2,Tasks[[#This Row],[_ConstraintCode]]=3,Tasks[[#This Row],[_ConstraintCode]]=5,Tasks[[#This Row],[_ConstraintCode]]=7),Tasks[[#This Row],[_ConstraintStart]],2958465)</f>
        <v>2958465</v>
      </c>
      <c r="CG15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6" s="101" t="str">
        <f aca="false">IF(NOT(Tasks[[#This Row],[_IsLeaf]]=1),"",IF(N(Tasks[[#This Row],[Duration]])&lt;=0,Tasks[[#This Row],[_LeafCalcStart]],WORKDAY.INTL(Tasks[[#This Row],[_LeafCalcStart]],Tasks[[#This Row],[Duration]]-1,WorkWeek,Holidays)))</f>
        <v/>
      </c>
      <c r="CI15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6" s="41" t="n">
        <f aca="false">IF(NOT(Tasks[[#This Row],[_IsLeaf]]=1),0,IF(N(Tasks[[#This Row],[Actual Finish]])&gt;0,1,MIN(1,N(Tasks[[#This Row],[% Complete]]))))</f>
        <v>0</v>
      </c>
      <c r="CL156" s="41" t="n">
        <f aca="false">IF(OR(NOT(Tasks[[#This Row],[_IsLeaf]]=1),Tasks[[#This Row],[Resource]]=""),0,N(Tasks[[#This Row],[Duration]])*HoursPerDay*IF(Tasks[[#This Row],[Units]]="",DefaultUnits,Tasks[[#This Row],[Units]]))</f>
        <v>0</v>
      </c>
      <c r="CM156" s="41" t="n">
        <f aca="false">IF(Tasks[[#This Row],[_LeafWork]]=0,0,Tasks[[#This Row],[_LeafWork]]*IFERROR(INDEX(res_Rate,MATCH(Tasks[[#This Row],[Resource]],res_Name,0)),0))</f>
        <v>0</v>
      </c>
      <c r="CN156" s="41" t="n">
        <f aca="false">Tasks[[#This Row],[_LeafWork]]+IF(Tasks[[#This Row],[_IsLeaf]]=1,SUMIFS(asg_Work,asg_TaskUID,Tasks[[#This Row],[UID]],asg_Valid,1),0)</f>
        <v>0</v>
      </c>
      <c r="CO156" s="41" t="n">
        <f aca="false">Tasks[[#This Row],[_LeafCost]]+IF(Tasks[[#This Row],[_IsLeaf]]=1,SUMIFS(asg_Cost,asg_TaskUID,Tasks[[#This Row],[UID]],asg_Valid,1),0)</f>
        <v>0</v>
      </c>
      <c r="CP156" s="41" t="n">
        <f aca="false">IF(Tasks[[#This Row],[_LeafTotalCost]]=0,Tasks[[#This Row],[_LeafAC]],Tasks[[#This Row],[_LeafAC]]*Tasks[[#This Row],[_LeafCost]]/Tasks[[#This Row],[_LeafTotalCost]])</f>
        <v>0</v>
      </c>
      <c r="CQ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6" s="41" t="n">
        <f aca="false">IF(NOT(Tasks[[#This Row],[_IsLeaf]]=1),0,MAX(_xlfn.MAXIFS(Tasks[_Row],Tasks[Pred1 UID],Tasks[[#This Row],[UID]]),_xlfn.MAXIFS(Tasks[_Row],Tasks[Pred2 UID],Tasks[[#This Row],[UID]]),_xlfn.MAXIFS(Tasks[_Row],Tasks[Pred3 UID],Tasks[[#This Row],[UID]]),_xlfn.MAXIFS(Tasks[_Row],Tasks[Pred4 UID],Tasks[[#This Row],[UID]])))</f>
        <v>0</v>
      </c>
      <c r="CZ1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6" s="101" t="str">
        <f aca="false">IF(NOT(Tasks[[#This Row],[_IsLeaf]]=1),"",IF(N(Tasks[[#This Row],[Duration]])&lt;=0,Tasks[[#This Row],[_LeafLateFinish]],WORKDAY.INTL(Tasks[[#This Row],[_LeafLateFinish]],-(Tasks[[#This Row],[Duration]]-1),WorkWeek,Holidays)))</f>
        <v/>
      </c>
      <c r="DC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6" s="100" t="b">
        <f aca="false">AND(Tasks[[#This Row],[_IsLeaf]]=1,Tasks[[#This Row],[_LeafProgress]]&lt;1,N(Tasks[[#This Row],[_LeafTotalSlack]])&lt;=CriticalSlackDays)</f>
        <v>0</v>
      </c>
      <c r="DE156" s="41" t="n">
        <f aca="false">IF(AND(Tasks[[#This Row],[_IsLeaf]]=1,Tasks[[#This Row],[_ConstraintCode]]=1,Tasks[[#This Row],[Mode]]&lt;&gt;"Manual",N(Tasks[[#This Row],[Actual Start]])=0),MAX(0,N(Tasks[[#This Row],[Free Slack]])),0)</f>
        <v>0</v>
      </c>
      <c r="DF156" s="101" t="str">
        <f aca="false">IF(NOT(Tasks[[#This Row],[_IsLeaf]]=1),"",IF(Tasks[[#This Row],[_AlapShift]]=0,Tasks[[#This Row],[_LeafCalcStart]],WORKDAY.INTL(Tasks[[#This Row],[_LeafCalcStart]],Tasks[[#This Row],[_AlapShift]],WorkWeek,Holidays)))</f>
        <v/>
      </c>
      <c r="DG156" s="101" t="str">
        <f aca="false">IF(NOT(Tasks[[#This Row],[_IsLeaf]]=1),"",IF(Tasks[[#This Row],[_AlapShift]]=0,Tasks[[#This Row],[_LeafCalcFinish]],WORKDAY.INTL(Tasks[[#This Row],[_LeafCalcFinish]],Tasks[[#This Row],[_AlapShift]],WorkWeek,Holidays)))</f>
        <v/>
      </c>
      <c r="DH156" s="101" t="str">
        <f aca="false">IF(NOT(Tasks[[#This Row],[_IsLeaf]]=1),"",IF(Tasks[[#This Row],[_AlapShift]]=0,Tasks[[#This Row],[_LeafFcstStart]],WORKDAY.INTL(Tasks[[#This Row],[_LeafFcstStart]],Tasks[[#This Row],[_AlapShift]],WorkWeek,Holidays)))</f>
        <v/>
      </c>
      <c r="DI156" s="101" t="str">
        <f aca="false">IF(NOT(Tasks[[#This Row],[_IsLeaf]]=1),"",IF(Tasks[[#This Row],[_AlapShift]]=0,Tasks[[#This Row],[_LeafFcstFinish]],WORKDAY.INTL(Tasks[[#This Row],[_LeafFcstFinish]],Tasks[[#This Row],[_AlapShift]],WorkWeek,Holidays)))</f>
        <v/>
      </c>
      <c r="DJ156" s="101" t="str">
        <f aca="false">IF(Tasks[[#This Row],[Task Name]]="","",IF(Tasks[[#This Row],[_IsSummary]],MIN(INDEX(Tasks[_ShownCalcStart],Tasks[[#This Row],[_Row]]+1):INDEX(Tasks[_ShownCalcStart],Tasks[[#This Row],[_Row]]+Tasks[[#This Row],[_Descendants]])),Tasks[[#This Row],[_ShownCalcStart]]))</f>
        <v/>
      </c>
      <c r="DK156" s="101" t="str">
        <f aca="false">IF(Tasks[[#This Row],[Task Name]]="","",IF(Tasks[[#This Row],[_IsSummary]],MAX(INDEX(Tasks[_ShownCalcFinish],Tasks[[#This Row],[_Row]]+1):INDEX(Tasks[_ShownCalcFinish],Tasks[[#This Row],[_Row]]+Tasks[[#This Row],[_Descendants]])),Tasks[[#This Row],[_ShownCalcFinish]]))</f>
        <v/>
      </c>
      <c r="D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6" s="41" t="n">
        <f aca="false">IF(AND(Tasks[[#This Row],[_IsLeaf]]=1,Tasks[[#This Row],[_LeafTotalWork]]&gt;0),NETWORKDAYS.INTL(ProjectStart,Tasks[[#This Row],[_ShownFcstStart]],WorkWeek,Holidays),0)</f>
        <v>0</v>
      </c>
      <c r="DY156" s="41" t="n">
        <f aca="false">IF(AND(Tasks[[#This Row],[_IsLeaf]]=1,Tasks[[#This Row],[_LeafTotalWork]]&gt;0),MAX(Tasks[[#This Row],[_StartWorkday]],NETWORKDAYS.INTL(ProjectStart,Tasks[[#This Row],[_ShownFcstFinish]],WorkWeek,Holidays)),0)</f>
        <v>0</v>
      </c>
      <c r="DZ156" s="41" t="n">
        <f aca="false">IF(AND(Tasks[[#This Row],[_IsLeaf]]=1,Tasks[[#This Row],[_LeafTotalWork]]&gt;0),Tasks[[#This Row],[_LeafWork]]/(Tasks[[#This Row],[_FinishWorkday]]-Tasks[[#This Row],[_StartWorkday]]+1),0)</f>
        <v>0</v>
      </c>
      <c r="EA156" s="41" t="n">
        <f aca="false">Tasks[[#This Row],[_WorkPerWorkday]]*(Tasks[[#This Row],[_StartWorkday]]-1)</f>
        <v>-0</v>
      </c>
      <c r="EB156" s="41" t="n">
        <f aca="false">IF(Tasks[[#This Row],[_IsLeaf]]=1,MAX(N(Tasks[[#This Row],[Duration]]),0.1),0)</f>
        <v>0</v>
      </c>
      <c r="EC156" s="41" t="n">
        <f aca="false">Tasks[[#This Row],[_WeightDur]]*Tasks[[#This Row],[_LeafProgress]]</f>
        <v>0</v>
      </c>
      <c r="ED1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6" s="41" t="str">
        <f aca="false">IF(AND(Tasks[[#This Row],[_IsLeaf]]=1,N(Tasks[[#This Row],[Duration]])=0,Tasks[[#This Row],[_LeafProgress]]&lt;1),Tasks[[#This Row],[_ShownFcstFinish]]+Tasks[[#This Row],[_Row]]/100000,"")</f>
        <v/>
      </c>
      <c r="EF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6" s="41" t="n">
        <f aca="false">IF(NOT(Tasks[[#This Row],[_IsLeaf]]=1),0,IF(Tasks[[#This Row],[Baseline Cost]]="",Tasks[[#This Row],[_LeafTotalCost]],N(Tasks[[#This Row],[Baseline Cost]])))</f>
        <v>0</v>
      </c>
      <c r="EH156" s="41" t="n">
        <f aca="false">Tasks[[#This Row],[_LeafBudget]]*Tasks[[#This Row],[_PlannedPct]]</f>
        <v>0</v>
      </c>
      <c r="EI156" s="41" t="n">
        <f aca="false">Tasks[[#This Row],[_LeafBudget]]*Tasks[[#This Row],[_LeafProgress]]</f>
        <v>0</v>
      </c>
      <c r="EJ156" s="41" t="n">
        <f aca="false">IF(NOT(Tasks[[#This Row],[_IsLeaf]]=1),0,IF(Tasks[[#This Row],[Actual Cost]]="",Tasks[[#This Row],[_LeafTotalCost]]*Tasks[[#This Row],[_LeafProgress]],N(Tasks[[#This Row],[Actual Cost]])))</f>
        <v>0</v>
      </c>
      <c r="EK156" s="41" t="str">
        <f aca="false">IF(Tasks[[#This Row],[Task Name]]="","",LEFT(Tasks[[#This Row],[WBS]],FIND(".",Tasks[[#This Row],[WBS]]&amp;".")-1))</f>
        <v/>
      </c>
      <c r="EL156" s="41" t="str">
        <f aca="false">IF(AND(Tasks[[#This Row],[Task Name]]&lt;&gt;"",Tasks[[#This Row],[_Level]]=1),Tasks[[#This Row],[_Row]],"")</f>
        <v/>
      </c>
      <c r="EM156" s="41" t="str">
        <f aca="false">IF(AND(Tasks[[#This Row],[_IsLeaf]]=1,N(Tasks[[#This Row],[Duration]])=0),Tasks[[#This Row],[Planned Finish]]+Tasks[[#This Row],[_Row]]/100000,"")</f>
        <v/>
      </c>
      <c r="EN156" s="41" t="str">
        <f aca="false">IF(AND(Tasks[[#This Row],[_IsLeaf]]=1,Tasks[[#This Row],[_LeafProgress]]&lt;1,OR(N(Tasks[[#This Row],[Finish Var]])&gt;0,Tasks[[#This Row],[Status]]="Late Start")),MAX(0,Tasks[[#This Row],[Finish Var]])+1-Tasks[[#This Row],[_Row]]/1000000,"")</f>
        <v/>
      </c>
      <c r="EO156" s="41" t="str">
        <f aca="false">IF(AND(Tasks[[#This Row],[_IsLeaf]]=1,N(Tasks[[#This Row],[Actual Start]])=0,Tasks[[#This Row],[_ShownFcstStart]]&gt;=StatusDate,Tasks[[#This Row],[_ShownFcstStart]]&lt;=LookaheadEnd),Tasks[[#This Row],[_ShownFcstStart]]+Tasks[[#This Row],[_Row]]/100000,"")</f>
        <v/>
      </c>
      <c r="EP156" s="41" t="str">
        <f aca="false">IF(AND(Tasks[[#This Row],[_IsLeaf]]=1,Tasks[[#This Row],[_LeafProgress]]&lt;1,Tasks[[#This Row],[_ShownFcstFinish]]&gt;=StatusDate,Tasks[[#This Row],[_ShownFcstFinish]]&lt;=LookaheadEnd),Tasks[[#This Row],[_ShownFcstFinish]]+Tasks[[#This Row],[_Row]]/100000,"")</f>
        <v/>
      </c>
      <c r="EQ156" s="41" t="str">
        <f aca="false">IF(Tasks[[#This Row],[_LeafCritical]],Tasks[[#This Row],[_ShownFcstStart]]+Tasks[[#This Row],[_Row]]/100000,"")</f>
        <v/>
      </c>
      <c r="ER156" s="41" t="n">
        <f aca="false">Tasks[[#This Row],[_LeafWork]]*Tasks[[#This Row],[_LeafProgress]]</f>
        <v>0</v>
      </c>
      <c r="ES156" s="101" t="str">
        <f aca="false">IF(AND(Tasks[[#This Row],[_IsLeaf]]=1,Tasks[[#This Row],[_LeafProgress]]&gt;=1),IF(N(Tasks[[#This Row],[Actual Finish]])&gt;0,Tasks[[#This Row],[Actual Finish]],Tasks[[#This Row],[_ShownFcstFinish]]),"")</f>
        <v/>
      </c>
      <c r="ET156" s="41" t="n">
        <f aca="false">IF(Tasks[[#This Row],[_IsLeaf]]=1,N(Tasks[[#This Row],[Story Points]]),0)</f>
        <v>0</v>
      </c>
      <c r="EU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29"/>
      <c r="O157" s="29"/>
      <c r="P157" s="29"/>
      <c r="Q157" s="29"/>
      <c r="R157" s="29"/>
      <c r="S157" s="29"/>
      <c r="T157" s="30"/>
      <c r="U157" s="75"/>
      <c r="V157" s="75"/>
      <c r="W157" s="25" t="str">
        <f aca="false">IF(Tasks[[#This Row],[Task Name]]="","",IF(N(Tasks[[#This Row],[Baseline Start]])&gt;0,Tasks[[#This Row],[Baseline Start]],Tasks[[#This Row],[_CalcStart]]))</f>
        <v/>
      </c>
      <c r="X157" s="25" t="str">
        <f aca="false">IF(Tasks[[#This Row],[Task Name]]="","",IF(N(Tasks[[#This Row],[Baseline Finish]])&gt;0,Tasks[[#This Row],[Baseline Finish]],Tasks[[#This Row],[_CalcFinish]]))</f>
        <v/>
      </c>
      <c r="Y157" s="75"/>
      <c r="Z157" s="75"/>
      <c r="AA157" s="25" t="str">
        <f aca="false">IF(Tasks[[#This Row],[Task Name]]="","",IF(Tasks[[#This Row],[_IsSummary]],MIN(INDEX(Tasks[_ShownFcstStart],Tasks[[#This Row],[_Row]]+1):INDEX(Tasks[_ShownFcstStart],Tasks[[#This Row],[_Row]]+Tasks[[#This Row],[_Descendants]])),Tasks[[#This Row],[_ShownFcstStart]]))</f>
        <v/>
      </c>
      <c r="AB157" s="25" t="str">
        <f aca="false">IF(Tasks[[#This Row],[Task Name]]="","",IF(Tasks[[#This Row],[_IsSummary]],MAX(INDEX(Tasks[_ShownFcstFinish],Tasks[[#This Row],[_Row]]+1):INDEX(Tasks[_ShownFcstFinish],Tasks[[#This Row],[_Row]]+Tasks[[#This Row],[_Descendants]])),Tasks[[#This Row],[_ShownFcstFinish]]))</f>
        <v/>
      </c>
      <c r="AC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7" s="25" t="str">
        <f aca="false">IF(Tasks[[#This Row],[Task Name]]="","",IF(Tasks[[#This Row],[_IsSummary]],MIN(INDEX(Tasks[_LeafLateStart],Tasks[[#This Row],[_Row]]+1):INDEX(Tasks[_LeafLateStart],Tasks[[#This Row],[_Row]]+Tasks[[#This Row],[_Descendants]])),Tasks[[#This Row],[_LeafLateStart]]))</f>
        <v/>
      </c>
      <c r="AF157" s="25" t="str">
        <f aca="false">IF(Tasks[[#This Row],[Task Name]]="","",IF(Tasks[[#This Row],[_IsSummary]],MAX(INDEX(Tasks[_LeafLateFinish],Tasks[[#This Row],[_Row]]+1):INDEX(Tasks[_LeafLateFinish],Tasks[[#This Row],[_Row]]+Tasks[[#This Row],[_Descendants]])),Tasks[[#This Row],[_LeafLateFinish]]))</f>
        <v/>
      </c>
      <c r="AG157" s="28" t="str">
        <f aca="false">IF(Tasks[[#This Row],[Task Name]]="","",IF(Tasks[[#This Row],[_IsSummary]],MIN(INDEX(Tasks[_LeafTotalSlack],Tasks[[#This Row],[_Row]]+1):INDEX(Tasks[_LeafTotalSlack],Tasks[[#This Row],[_Row]]+Tasks[[#This Row],[_Descendants]])),Tasks[[#This Row],[_LeafTotalSlack]]))</f>
        <v/>
      </c>
      <c r="AH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7" s="28" t="str">
        <f aca="false">IF(Tasks[[#This Row],[Task Name]]="","",IF(IF(Tasks[[#This Row],[_IsSummary]],COUNTIF(INDEX(Tasks[_LeafCritical],Tasks[[#This Row],[_Row]]+1):INDEX(Tasks[_LeafCritical],Tasks[[#This Row],[_Row]]+Tasks[[#This Row],[_Descendants]]),TRUE())&gt;0,Tasks[[#This Row],[_LeafCritical]]),"Yes",""))</f>
        <v/>
      </c>
      <c r="AJ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7" s="89"/>
      <c r="AM1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7" s="28" t="str">
        <f aca="false">IF(Tasks[[#This Row],[Task Name]]="","",IF(Tasks[[#This Row],[Progress]]&gt;=1,"Complete",IF(OR(N(Tasks[[#This Row],[Actual Start]])&gt;0,Tasks[[#This Row],[Progress]]&gt;0),IF(Tasks[[#This Row],[Finish Var]]&gt;0,"Behind","In Progress"),IF(Tasks[[#This Row],[Planned Start]]&lt;StatusDate,"Late Start","Not Started"))))</f>
        <v/>
      </c>
      <c r="AO157" s="30"/>
      <c r="AP157" s="89"/>
      <c r="AQ1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7" s="96" t="str">
        <f aca="false">IF(Tasks[[#This Row],[Task Name]]="","",IF(Tasks[[#This Row],[_IsSummary]],SUM(INDEX(Tasks[_LeafTotalWork],Tasks[[#This Row],[_Row]]+1):INDEX(Tasks[_LeafTotalWork],Tasks[[#This Row],[_Row]]+Tasks[[#This Row],[_Descendants]])),Tasks[[#This Row],[_LeafTotalWork]]))</f>
        <v/>
      </c>
      <c r="AT157" s="97" t="str">
        <f aca="false">IF(Tasks[[#This Row],[Task Name]]="","",IF(Tasks[[#This Row],[_IsSummary]],SUM(INDEX(Tasks[_LeafTotalCost],Tasks[[#This Row],[_Row]]+1):INDEX(Tasks[_LeafTotalCost],Tasks[[#This Row],[_Row]]+Tasks[[#This Row],[_Descendants]])),Tasks[[#This Row],[_LeafTotalCost]]))</f>
        <v/>
      </c>
      <c r="AU157" s="98"/>
      <c r="AV157" s="29"/>
      <c r="AW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7" s="83"/>
      <c r="AY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7" s="30"/>
      <c r="BA157" s="25" t="str">
        <f aca="false">IF(Tasks[[#This Row],[Task Name]]="","",Tasks[[#This Row],[Forecast Start]])</f>
        <v/>
      </c>
      <c r="BB157" s="25" t="str">
        <f aca="false">IF(Tasks[[#This Row],[Task Name]]="","",Tasks[[#This Row],[Forecast Finish]])</f>
        <v/>
      </c>
      <c r="BC157" s="28" t="str">
        <f aca="false">IF(Tasks[[#This Row],[Task Name]]="","",IF(Tasks[[#This Row],[_IsSummary]],NETWORKDAYS.INTL(Tasks[[#This Row],[Forecast Start]],Tasks[[#This Row],[Forecast Finish]],WorkWeek,Holidays),N(Tasks[[#This Row],[Duration]])))</f>
        <v/>
      </c>
      <c r="BD157" s="96" t="str">
        <f aca="false">IF(Tasks[[#This Row],[Task Name]]="","",Tasks[[#This Row],[Work]])</f>
        <v/>
      </c>
      <c r="BE157" s="97" t="str">
        <f aca="false">IF(Tasks[[#This Row],[Task Name]]="","",Tasks[[#This Row],[Cost]])</f>
        <v/>
      </c>
      <c r="BF157" s="75"/>
      <c r="BG157" s="75"/>
      <c r="BH157" s="29"/>
      <c r="BI157" s="99"/>
      <c r="BJ157" s="98"/>
      <c r="BK157" s="28" t="str">
        <f aca="false">IF(OR(Tasks[[#This Row],[Task Name]]="",Tasks[[#This Row],[Baseline Duration]]=""),"",Tasks[[#This Row],[BL Source Duration]]-N(Tasks[[#This Row],[Baseline Duration]]))</f>
        <v/>
      </c>
      <c r="BL157" s="96" t="str">
        <f aca="false">IF(OR(Tasks[[#This Row],[Task Name]]="",Tasks[[#This Row],[Baseline Work]]=""),"",Tasks[[#This Row],[Work]]-N(Tasks[[#This Row],[Baseline Work]]))</f>
        <v/>
      </c>
      <c r="BM157" s="97" t="str">
        <f aca="false">IF(OR(Tasks[[#This Row],[Task Name]]="",Tasks[[#This Row],[Baseline Cost]]=""),"",Tasks[[#This Row],[Cost]]-N(Tasks[[#This Row],[Baseline Cost]]))</f>
        <v/>
      </c>
      <c r="BN157" s="97" t="str">
        <f aca="false">IF(Tasks[[#This Row],[Task Name]]="","",IF(Tasks[[#This Row],[_IsSummary]],SUM(INDEX(Tasks[_LeafBudget],Tasks[[#This Row],[_Row]]+1):INDEX(Tasks[_LeafBudget],Tasks[[#This Row],[_Row]]+Tasks[[#This Row],[_Descendants]])),Tasks[[#This Row],[_LeafBudget]]))</f>
        <v/>
      </c>
      <c r="BO157" s="97" t="str">
        <f aca="false">IF(Tasks[[#This Row],[Task Name]]="","",IF(Tasks[[#This Row],[_IsSummary]],SUM(INDEX(Tasks[_LeafPV],Tasks[[#This Row],[_Row]]+1):INDEX(Tasks[_LeafPV],Tasks[[#This Row],[_Row]]+Tasks[[#This Row],[_Descendants]])),Tasks[[#This Row],[_LeafPV]]))</f>
        <v/>
      </c>
      <c r="BP157" s="97" t="str">
        <f aca="false">IF(Tasks[[#This Row],[Task Name]]="","",IF(Tasks[[#This Row],[_IsSummary]],SUM(INDEX(Tasks[_LeafEV],Tasks[[#This Row],[_Row]]+1):INDEX(Tasks[_LeafEV],Tasks[[#This Row],[_Row]]+Tasks[[#This Row],[_Descendants]])),Tasks[[#This Row],[_LeafEV]]))</f>
        <v/>
      </c>
      <c r="BQ157" s="97" t="str">
        <f aca="false">IF(Tasks[[#This Row],[Task Name]]="","",IF(Tasks[[#This Row],[_IsSummary]],SUM(INDEX(Tasks[_LeafAC],Tasks[[#This Row],[_Row]]+1):INDEX(Tasks[_LeafAC],Tasks[[#This Row],[_Row]]+Tasks[[#This Row],[_Descendants]])),Tasks[[#This Row],[_LeafAC]]))</f>
        <v/>
      </c>
      <c r="BR157" s="41" t="str">
        <f aca="false">IF(Tasks[[#This Row],[Task Name]]="","",MAX(1,N(Tasks[[#This Row],[Level]])))</f>
        <v/>
      </c>
      <c r="BS157" s="41" t="n">
        <f aca="false">ROW()-ROW(Tasks[[#Headers],[ID]])</f>
        <v>152</v>
      </c>
      <c r="BT157" s="41" t="n">
        <f aca="false">IF(OR(Tasks[[#This Row],[Task Name]]="",Tasks[[#This Row],[_Level]]&lt;=1),0,IFERROR(LOOKUP(2,1/(Tasks[[#Headers],[_Level]]:Tasks[[#This Row],[_Level]]=Tasks[[#This Row],[_Level]]-1),ROW(Tasks[[#Headers],[_Level]]:Tasks[[#This Row],[_Level]])),0))</f>
        <v>0</v>
      </c>
      <c r="BU157" s="41" t="n">
        <f aca="false">IFERROR(N(INDEX(Tasks[_Level],Tasks[[#This Row],[_Row]]+1)),0)</f>
        <v>0</v>
      </c>
      <c r="BV157" s="100" t="b">
        <f aca="false">AND(Tasks[[#This Row],[Task Name]]&lt;&gt;"",Tasks[[#This Row],[_NextLevel]]&gt;Tasks[[#This Row],[_Level]])</f>
        <v>0</v>
      </c>
      <c r="BW157" s="41" t="n">
        <f aca="false">IF(Tasks[[#This Row],[_IsSummary]],COUNTIF(Tasks[WBS],Tasks[[#This Row],[WBS]]&amp;".*"),0)</f>
        <v>0</v>
      </c>
      <c r="BX157" s="41" t="n">
        <f aca="false">IF(AND(Tasks[[#This Row],[Task Name]]&lt;&gt;"",NOT(Tasks[[#This Row],[_IsSummary]])),1,0)</f>
        <v>0</v>
      </c>
      <c r="BY157" s="41" t="n">
        <f aca="false">IF(N(Tasks[[#This Row],[Pred1 UID]])=0,0,IFERROR(MATCH(Tasks[[#This Row],[Pred1 UID]],Tasks[UID],0),-1))</f>
        <v>0</v>
      </c>
      <c r="BZ157" s="41" t="n">
        <f aca="false">IF(N(Tasks[[#This Row],[Pred2 UID]])=0,0,IFERROR(MATCH(Tasks[[#This Row],[Pred2 UID]],Tasks[UID],0),-1))</f>
        <v>0</v>
      </c>
      <c r="CA157" s="41" t="n">
        <f aca="false">IF(N(Tasks[[#This Row],[Pred3 UID]])=0,0,IFERROR(MATCH(Tasks[[#This Row],[Pred3 UID]],Tasks[UID],0),-1))</f>
        <v>0</v>
      </c>
      <c r="CB157" s="41" t="n">
        <f aca="false">IF(N(Tasks[[#This Row],[Pred4 UID]])=0,0,IFERROR(MATCH(Tasks[[#This Row],[Pred4 UID]],Tasks[UID],0),-1))</f>
        <v>0</v>
      </c>
      <c r="CC1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7" s="101" t="n">
        <f aca="false">IF(OR(Tasks[[#This Row],[_ConstraintCode]]=2,Tasks[[#This Row],[_ConstraintCode]]=3,Tasks[[#This Row],[_ConstraintCode]]=4,Tasks[[#This Row],[_ConstraintCode]]=6),Tasks[[#This Row],[_ConstraintStart]],0)</f>
        <v>0</v>
      </c>
      <c r="CF157" s="101" t="n">
        <f aca="false">IF(OR(Tasks[[#This Row],[_ConstraintCode]]=2,Tasks[[#This Row],[_ConstraintCode]]=3,Tasks[[#This Row],[_ConstraintCode]]=5,Tasks[[#This Row],[_ConstraintCode]]=7),Tasks[[#This Row],[_ConstraintStart]],2958465)</f>
        <v>2958465</v>
      </c>
      <c r="CG15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7" s="101" t="str">
        <f aca="false">IF(NOT(Tasks[[#This Row],[_IsLeaf]]=1),"",IF(N(Tasks[[#This Row],[Duration]])&lt;=0,Tasks[[#This Row],[_LeafCalcStart]],WORKDAY.INTL(Tasks[[#This Row],[_LeafCalcStart]],Tasks[[#This Row],[Duration]]-1,WorkWeek,Holidays)))</f>
        <v/>
      </c>
      <c r="CI15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7" s="41" t="n">
        <f aca="false">IF(NOT(Tasks[[#This Row],[_IsLeaf]]=1),0,IF(N(Tasks[[#This Row],[Actual Finish]])&gt;0,1,MIN(1,N(Tasks[[#This Row],[% Complete]]))))</f>
        <v>0</v>
      </c>
      <c r="CL157" s="41" t="n">
        <f aca="false">IF(OR(NOT(Tasks[[#This Row],[_IsLeaf]]=1),Tasks[[#This Row],[Resource]]=""),0,N(Tasks[[#This Row],[Duration]])*HoursPerDay*IF(Tasks[[#This Row],[Units]]="",DefaultUnits,Tasks[[#This Row],[Units]]))</f>
        <v>0</v>
      </c>
      <c r="CM157" s="41" t="n">
        <f aca="false">IF(Tasks[[#This Row],[_LeafWork]]=0,0,Tasks[[#This Row],[_LeafWork]]*IFERROR(INDEX(res_Rate,MATCH(Tasks[[#This Row],[Resource]],res_Name,0)),0))</f>
        <v>0</v>
      </c>
      <c r="CN157" s="41" t="n">
        <f aca="false">Tasks[[#This Row],[_LeafWork]]+IF(Tasks[[#This Row],[_IsLeaf]]=1,SUMIFS(asg_Work,asg_TaskUID,Tasks[[#This Row],[UID]],asg_Valid,1),0)</f>
        <v>0</v>
      </c>
      <c r="CO157" s="41" t="n">
        <f aca="false">Tasks[[#This Row],[_LeafCost]]+IF(Tasks[[#This Row],[_IsLeaf]]=1,SUMIFS(asg_Cost,asg_TaskUID,Tasks[[#This Row],[UID]],asg_Valid,1),0)</f>
        <v>0</v>
      </c>
      <c r="CP157" s="41" t="n">
        <f aca="false">IF(Tasks[[#This Row],[_LeafTotalCost]]=0,Tasks[[#This Row],[_LeafAC]],Tasks[[#This Row],[_LeafAC]]*Tasks[[#This Row],[_LeafCost]]/Tasks[[#This Row],[_LeafTotalCost]])</f>
        <v>0</v>
      </c>
      <c r="CQ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7" s="41" t="n">
        <f aca="false">IF(NOT(Tasks[[#This Row],[_IsLeaf]]=1),0,MAX(_xlfn.MAXIFS(Tasks[_Row],Tasks[Pred1 UID],Tasks[[#This Row],[UID]]),_xlfn.MAXIFS(Tasks[_Row],Tasks[Pred2 UID],Tasks[[#This Row],[UID]]),_xlfn.MAXIFS(Tasks[_Row],Tasks[Pred3 UID],Tasks[[#This Row],[UID]]),_xlfn.MAXIFS(Tasks[_Row],Tasks[Pred4 UID],Tasks[[#This Row],[UID]])))</f>
        <v>0</v>
      </c>
      <c r="CZ1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7" s="101" t="str">
        <f aca="false">IF(NOT(Tasks[[#This Row],[_IsLeaf]]=1),"",IF(N(Tasks[[#This Row],[Duration]])&lt;=0,Tasks[[#This Row],[_LeafLateFinish]],WORKDAY.INTL(Tasks[[#This Row],[_LeafLateFinish]],-(Tasks[[#This Row],[Duration]]-1),WorkWeek,Holidays)))</f>
        <v/>
      </c>
      <c r="DC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7" s="100" t="b">
        <f aca="false">AND(Tasks[[#This Row],[_IsLeaf]]=1,Tasks[[#This Row],[_LeafProgress]]&lt;1,N(Tasks[[#This Row],[_LeafTotalSlack]])&lt;=CriticalSlackDays)</f>
        <v>0</v>
      </c>
      <c r="DE157" s="41" t="n">
        <f aca="false">IF(AND(Tasks[[#This Row],[_IsLeaf]]=1,Tasks[[#This Row],[_ConstraintCode]]=1,Tasks[[#This Row],[Mode]]&lt;&gt;"Manual",N(Tasks[[#This Row],[Actual Start]])=0),MAX(0,N(Tasks[[#This Row],[Free Slack]])),0)</f>
        <v>0</v>
      </c>
      <c r="DF157" s="101" t="str">
        <f aca="false">IF(NOT(Tasks[[#This Row],[_IsLeaf]]=1),"",IF(Tasks[[#This Row],[_AlapShift]]=0,Tasks[[#This Row],[_LeafCalcStart]],WORKDAY.INTL(Tasks[[#This Row],[_LeafCalcStart]],Tasks[[#This Row],[_AlapShift]],WorkWeek,Holidays)))</f>
        <v/>
      </c>
      <c r="DG157" s="101" t="str">
        <f aca="false">IF(NOT(Tasks[[#This Row],[_IsLeaf]]=1),"",IF(Tasks[[#This Row],[_AlapShift]]=0,Tasks[[#This Row],[_LeafCalcFinish]],WORKDAY.INTL(Tasks[[#This Row],[_LeafCalcFinish]],Tasks[[#This Row],[_AlapShift]],WorkWeek,Holidays)))</f>
        <v/>
      </c>
      <c r="DH157" s="101" t="str">
        <f aca="false">IF(NOT(Tasks[[#This Row],[_IsLeaf]]=1),"",IF(Tasks[[#This Row],[_AlapShift]]=0,Tasks[[#This Row],[_LeafFcstStart]],WORKDAY.INTL(Tasks[[#This Row],[_LeafFcstStart]],Tasks[[#This Row],[_AlapShift]],WorkWeek,Holidays)))</f>
        <v/>
      </c>
      <c r="DI157" s="101" t="str">
        <f aca="false">IF(NOT(Tasks[[#This Row],[_IsLeaf]]=1),"",IF(Tasks[[#This Row],[_AlapShift]]=0,Tasks[[#This Row],[_LeafFcstFinish]],WORKDAY.INTL(Tasks[[#This Row],[_LeafFcstFinish]],Tasks[[#This Row],[_AlapShift]],WorkWeek,Holidays)))</f>
        <v/>
      </c>
      <c r="DJ157" s="101" t="str">
        <f aca="false">IF(Tasks[[#This Row],[Task Name]]="","",IF(Tasks[[#This Row],[_IsSummary]],MIN(INDEX(Tasks[_ShownCalcStart],Tasks[[#This Row],[_Row]]+1):INDEX(Tasks[_ShownCalcStart],Tasks[[#This Row],[_Row]]+Tasks[[#This Row],[_Descendants]])),Tasks[[#This Row],[_ShownCalcStart]]))</f>
        <v/>
      </c>
      <c r="DK157" s="101" t="str">
        <f aca="false">IF(Tasks[[#This Row],[Task Name]]="","",IF(Tasks[[#This Row],[_IsSummary]],MAX(INDEX(Tasks[_ShownCalcFinish],Tasks[[#This Row],[_Row]]+1):INDEX(Tasks[_ShownCalcFinish],Tasks[[#This Row],[_Row]]+Tasks[[#This Row],[_Descendants]])),Tasks[[#This Row],[_ShownCalcFinish]]))</f>
        <v/>
      </c>
      <c r="D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7" s="41" t="n">
        <f aca="false">IF(AND(Tasks[[#This Row],[_IsLeaf]]=1,Tasks[[#This Row],[_LeafTotalWork]]&gt;0),NETWORKDAYS.INTL(ProjectStart,Tasks[[#This Row],[_ShownFcstStart]],WorkWeek,Holidays),0)</f>
        <v>0</v>
      </c>
      <c r="DY157" s="41" t="n">
        <f aca="false">IF(AND(Tasks[[#This Row],[_IsLeaf]]=1,Tasks[[#This Row],[_LeafTotalWork]]&gt;0),MAX(Tasks[[#This Row],[_StartWorkday]],NETWORKDAYS.INTL(ProjectStart,Tasks[[#This Row],[_ShownFcstFinish]],WorkWeek,Holidays)),0)</f>
        <v>0</v>
      </c>
      <c r="DZ157" s="41" t="n">
        <f aca="false">IF(AND(Tasks[[#This Row],[_IsLeaf]]=1,Tasks[[#This Row],[_LeafTotalWork]]&gt;0),Tasks[[#This Row],[_LeafWork]]/(Tasks[[#This Row],[_FinishWorkday]]-Tasks[[#This Row],[_StartWorkday]]+1),0)</f>
        <v>0</v>
      </c>
      <c r="EA157" s="41" t="n">
        <f aca="false">Tasks[[#This Row],[_WorkPerWorkday]]*(Tasks[[#This Row],[_StartWorkday]]-1)</f>
        <v>-0</v>
      </c>
      <c r="EB157" s="41" t="n">
        <f aca="false">IF(Tasks[[#This Row],[_IsLeaf]]=1,MAX(N(Tasks[[#This Row],[Duration]]),0.1),0)</f>
        <v>0</v>
      </c>
      <c r="EC157" s="41" t="n">
        <f aca="false">Tasks[[#This Row],[_WeightDur]]*Tasks[[#This Row],[_LeafProgress]]</f>
        <v>0</v>
      </c>
      <c r="ED1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7" s="41" t="str">
        <f aca="false">IF(AND(Tasks[[#This Row],[_IsLeaf]]=1,N(Tasks[[#This Row],[Duration]])=0,Tasks[[#This Row],[_LeafProgress]]&lt;1),Tasks[[#This Row],[_ShownFcstFinish]]+Tasks[[#This Row],[_Row]]/100000,"")</f>
        <v/>
      </c>
      <c r="EF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7" s="41" t="n">
        <f aca="false">IF(NOT(Tasks[[#This Row],[_IsLeaf]]=1),0,IF(Tasks[[#This Row],[Baseline Cost]]="",Tasks[[#This Row],[_LeafTotalCost]],N(Tasks[[#This Row],[Baseline Cost]])))</f>
        <v>0</v>
      </c>
      <c r="EH157" s="41" t="n">
        <f aca="false">Tasks[[#This Row],[_LeafBudget]]*Tasks[[#This Row],[_PlannedPct]]</f>
        <v>0</v>
      </c>
      <c r="EI157" s="41" t="n">
        <f aca="false">Tasks[[#This Row],[_LeafBudget]]*Tasks[[#This Row],[_LeafProgress]]</f>
        <v>0</v>
      </c>
      <c r="EJ157" s="41" t="n">
        <f aca="false">IF(NOT(Tasks[[#This Row],[_IsLeaf]]=1),0,IF(Tasks[[#This Row],[Actual Cost]]="",Tasks[[#This Row],[_LeafTotalCost]]*Tasks[[#This Row],[_LeafProgress]],N(Tasks[[#This Row],[Actual Cost]])))</f>
        <v>0</v>
      </c>
      <c r="EK157" s="41" t="str">
        <f aca="false">IF(Tasks[[#This Row],[Task Name]]="","",LEFT(Tasks[[#This Row],[WBS]],FIND(".",Tasks[[#This Row],[WBS]]&amp;".")-1))</f>
        <v/>
      </c>
      <c r="EL157" s="41" t="str">
        <f aca="false">IF(AND(Tasks[[#This Row],[Task Name]]&lt;&gt;"",Tasks[[#This Row],[_Level]]=1),Tasks[[#This Row],[_Row]],"")</f>
        <v/>
      </c>
      <c r="EM157" s="41" t="str">
        <f aca="false">IF(AND(Tasks[[#This Row],[_IsLeaf]]=1,N(Tasks[[#This Row],[Duration]])=0),Tasks[[#This Row],[Planned Finish]]+Tasks[[#This Row],[_Row]]/100000,"")</f>
        <v/>
      </c>
      <c r="EN157" s="41" t="str">
        <f aca="false">IF(AND(Tasks[[#This Row],[_IsLeaf]]=1,Tasks[[#This Row],[_LeafProgress]]&lt;1,OR(N(Tasks[[#This Row],[Finish Var]])&gt;0,Tasks[[#This Row],[Status]]="Late Start")),MAX(0,Tasks[[#This Row],[Finish Var]])+1-Tasks[[#This Row],[_Row]]/1000000,"")</f>
        <v/>
      </c>
      <c r="EO157" s="41" t="str">
        <f aca="false">IF(AND(Tasks[[#This Row],[_IsLeaf]]=1,N(Tasks[[#This Row],[Actual Start]])=0,Tasks[[#This Row],[_ShownFcstStart]]&gt;=StatusDate,Tasks[[#This Row],[_ShownFcstStart]]&lt;=LookaheadEnd),Tasks[[#This Row],[_ShownFcstStart]]+Tasks[[#This Row],[_Row]]/100000,"")</f>
        <v/>
      </c>
      <c r="EP157" s="41" t="str">
        <f aca="false">IF(AND(Tasks[[#This Row],[_IsLeaf]]=1,Tasks[[#This Row],[_LeafProgress]]&lt;1,Tasks[[#This Row],[_ShownFcstFinish]]&gt;=StatusDate,Tasks[[#This Row],[_ShownFcstFinish]]&lt;=LookaheadEnd),Tasks[[#This Row],[_ShownFcstFinish]]+Tasks[[#This Row],[_Row]]/100000,"")</f>
        <v/>
      </c>
      <c r="EQ157" s="41" t="str">
        <f aca="false">IF(Tasks[[#This Row],[_LeafCritical]],Tasks[[#This Row],[_ShownFcstStart]]+Tasks[[#This Row],[_Row]]/100000,"")</f>
        <v/>
      </c>
      <c r="ER157" s="41" t="n">
        <f aca="false">Tasks[[#This Row],[_LeafWork]]*Tasks[[#This Row],[_LeafProgress]]</f>
        <v>0</v>
      </c>
      <c r="ES157" s="101" t="str">
        <f aca="false">IF(AND(Tasks[[#This Row],[_IsLeaf]]=1,Tasks[[#This Row],[_LeafProgress]]&gt;=1),IF(N(Tasks[[#This Row],[Actual Finish]])&gt;0,Tasks[[#This Row],[Actual Finish]],Tasks[[#This Row],[_ShownFcstFinish]]),"")</f>
        <v/>
      </c>
      <c r="ET157" s="41" t="n">
        <f aca="false">IF(Tasks[[#This Row],[_IsLeaf]]=1,N(Tasks[[#This Row],[Story Points]]),0)</f>
        <v>0</v>
      </c>
      <c r="EU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29"/>
      <c r="O158" s="29"/>
      <c r="P158" s="29"/>
      <c r="Q158" s="29"/>
      <c r="R158" s="29"/>
      <c r="S158" s="29"/>
      <c r="T158" s="30"/>
      <c r="U158" s="75"/>
      <c r="V158" s="75"/>
      <c r="W158" s="25" t="str">
        <f aca="false">IF(Tasks[[#This Row],[Task Name]]="","",IF(N(Tasks[[#This Row],[Baseline Start]])&gt;0,Tasks[[#This Row],[Baseline Start]],Tasks[[#This Row],[_CalcStart]]))</f>
        <v/>
      </c>
      <c r="X158" s="25" t="str">
        <f aca="false">IF(Tasks[[#This Row],[Task Name]]="","",IF(N(Tasks[[#This Row],[Baseline Finish]])&gt;0,Tasks[[#This Row],[Baseline Finish]],Tasks[[#This Row],[_CalcFinish]]))</f>
        <v/>
      </c>
      <c r="Y158" s="75"/>
      <c r="Z158" s="75"/>
      <c r="AA158" s="25" t="str">
        <f aca="false">IF(Tasks[[#This Row],[Task Name]]="","",IF(Tasks[[#This Row],[_IsSummary]],MIN(INDEX(Tasks[_ShownFcstStart],Tasks[[#This Row],[_Row]]+1):INDEX(Tasks[_ShownFcstStart],Tasks[[#This Row],[_Row]]+Tasks[[#This Row],[_Descendants]])),Tasks[[#This Row],[_ShownFcstStart]]))</f>
        <v/>
      </c>
      <c r="AB158" s="25" t="str">
        <f aca="false">IF(Tasks[[#This Row],[Task Name]]="","",IF(Tasks[[#This Row],[_IsSummary]],MAX(INDEX(Tasks[_ShownFcstFinish],Tasks[[#This Row],[_Row]]+1):INDEX(Tasks[_ShownFcstFinish],Tasks[[#This Row],[_Row]]+Tasks[[#This Row],[_Descendants]])),Tasks[[#This Row],[_ShownFcstFinish]]))</f>
        <v/>
      </c>
      <c r="AC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8" s="25" t="str">
        <f aca="false">IF(Tasks[[#This Row],[Task Name]]="","",IF(Tasks[[#This Row],[_IsSummary]],MIN(INDEX(Tasks[_LeafLateStart],Tasks[[#This Row],[_Row]]+1):INDEX(Tasks[_LeafLateStart],Tasks[[#This Row],[_Row]]+Tasks[[#This Row],[_Descendants]])),Tasks[[#This Row],[_LeafLateStart]]))</f>
        <v/>
      </c>
      <c r="AF158" s="25" t="str">
        <f aca="false">IF(Tasks[[#This Row],[Task Name]]="","",IF(Tasks[[#This Row],[_IsSummary]],MAX(INDEX(Tasks[_LeafLateFinish],Tasks[[#This Row],[_Row]]+1):INDEX(Tasks[_LeafLateFinish],Tasks[[#This Row],[_Row]]+Tasks[[#This Row],[_Descendants]])),Tasks[[#This Row],[_LeafLateFinish]]))</f>
        <v/>
      </c>
      <c r="AG158" s="28" t="str">
        <f aca="false">IF(Tasks[[#This Row],[Task Name]]="","",IF(Tasks[[#This Row],[_IsSummary]],MIN(INDEX(Tasks[_LeafTotalSlack],Tasks[[#This Row],[_Row]]+1):INDEX(Tasks[_LeafTotalSlack],Tasks[[#This Row],[_Row]]+Tasks[[#This Row],[_Descendants]])),Tasks[[#This Row],[_LeafTotalSlack]]))</f>
        <v/>
      </c>
      <c r="AH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8" s="28" t="str">
        <f aca="false">IF(Tasks[[#This Row],[Task Name]]="","",IF(IF(Tasks[[#This Row],[_IsSummary]],COUNTIF(INDEX(Tasks[_LeafCritical],Tasks[[#This Row],[_Row]]+1):INDEX(Tasks[_LeafCritical],Tasks[[#This Row],[_Row]]+Tasks[[#This Row],[_Descendants]]),TRUE())&gt;0,Tasks[[#This Row],[_LeafCritical]]),"Yes",""))</f>
        <v/>
      </c>
      <c r="AJ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8" s="89"/>
      <c r="AM1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8" s="28" t="str">
        <f aca="false">IF(Tasks[[#This Row],[Task Name]]="","",IF(Tasks[[#This Row],[Progress]]&gt;=1,"Complete",IF(OR(N(Tasks[[#This Row],[Actual Start]])&gt;0,Tasks[[#This Row],[Progress]]&gt;0),IF(Tasks[[#This Row],[Finish Var]]&gt;0,"Behind","In Progress"),IF(Tasks[[#This Row],[Planned Start]]&lt;StatusDate,"Late Start","Not Started"))))</f>
        <v/>
      </c>
      <c r="AO158" s="30"/>
      <c r="AP158" s="89"/>
      <c r="AQ1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8" s="96" t="str">
        <f aca="false">IF(Tasks[[#This Row],[Task Name]]="","",IF(Tasks[[#This Row],[_IsSummary]],SUM(INDEX(Tasks[_LeafTotalWork],Tasks[[#This Row],[_Row]]+1):INDEX(Tasks[_LeafTotalWork],Tasks[[#This Row],[_Row]]+Tasks[[#This Row],[_Descendants]])),Tasks[[#This Row],[_LeafTotalWork]]))</f>
        <v/>
      </c>
      <c r="AT158" s="97" t="str">
        <f aca="false">IF(Tasks[[#This Row],[Task Name]]="","",IF(Tasks[[#This Row],[_IsSummary]],SUM(INDEX(Tasks[_LeafTotalCost],Tasks[[#This Row],[_Row]]+1):INDEX(Tasks[_LeafTotalCost],Tasks[[#This Row],[_Row]]+Tasks[[#This Row],[_Descendants]])),Tasks[[#This Row],[_LeafTotalCost]]))</f>
        <v/>
      </c>
      <c r="AU158" s="98"/>
      <c r="AV158" s="29"/>
      <c r="AW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8" s="83"/>
      <c r="AY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8" s="30"/>
      <c r="BA158" s="25" t="str">
        <f aca="false">IF(Tasks[[#This Row],[Task Name]]="","",Tasks[[#This Row],[Forecast Start]])</f>
        <v/>
      </c>
      <c r="BB158" s="25" t="str">
        <f aca="false">IF(Tasks[[#This Row],[Task Name]]="","",Tasks[[#This Row],[Forecast Finish]])</f>
        <v/>
      </c>
      <c r="BC158" s="28" t="str">
        <f aca="false">IF(Tasks[[#This Row],[Task Name]]="","",IF(Tasks[[#This Row],[_IsSummary]],NETWORKDAYS.INTL(Tasks[[#This Row],[Forecast Start]],Tasks[[#This Row],[Forecast Finish]],WorkWeek,Holidays),N(Tasks[[#This Row],[Duration]])))</f>
        <v/>
      </c>
      <c r="BD158" s="96" t="str">
        <f aca="false">IF(Tasks[[#This Row],[Task Name]]="","",Tasks[[#This Row],[Work]])</f>
        <v/>
      </c>
      <c r="BE158" s="97" t="str">
        <f aca="false">IF(Tasks[[#This Row],[Task Name]]="","",Tasks[[#This Row],[Cost]])</f>
        <v/>
      </c>
      <c r="BF158" s="75"/>
      <c r="BG158" s="75"/>
      <c r="BH158" s="29"/>
      <c r="BI158" s="99"/>
      <c r="BJ158" s="98"/>
      <c r="BK158" s="28" t="str">
        <f aca="false">IF(OR(Tasks[[#This Row],[Task Name]]="",Tasks[[#This Row],[Baseline Duration]]=""),"",Tasks[[#This Row],[BL Source Duration]]-N(Tasks[[#This Row],[Baseline Duration]]))</f>
        <v/>
      </c>
      <c r="BL158" s="96" t="str">
        <f aca="false">IF(OR(Tasks[[#This Row],[Task Name]]="",Tasks[[#This Row],[Baseline Work]]=""),"",Tasks[[#This Row],[Work]]-N(Tasks[[#This Row],[Baseline Work]]))</f>
        <v/>
      </c>
      <c r="BM158" s="97" t="str">
        <f aca="false">IF(OR(Tasks[[#This Row],[Task Name]]="",Tasks[[#This Row],[Baseline Cost]]=""),"",Tasks[[#This Row],[Cost]]-N(Tasks[[#This Row],[Baseline Cost]]))</f>
        <v/>
      </c>
      <c r="BN158" s="97" t="str">
        <f aca="false">IF(Tasks[[#This Row],[Task Name]]="","",IF(Tasks[[#This Row],[_IsSummary]],SUM(INDEX(Tasks[_LeafBudget],Tasks[[#This Row],[_Row]]+1):INDEX(Tasks[_LeafBudget],Tasks[[#This Row],[_Row]]+Tasks[[#This Row],[_Descendants]])),Tasks[[#This Row],[_LeafBudget]]))</f>
        <v/>
      </c>
      <c r="BO158" s="97" t="str">
        <f aca="false">IF(Tasks[[#This Row],[Task Name]]="","",IF(Tasks[[#This Row],[_IsSummary]],SUM(INDEX(Tasks[_LeafPV],Tasks[[#This Row],[_Row]]+1):INDEX(Tasks[_LeafPV],Tasks[[#This Row],[_Row]]+Tasks[[#This Row],[_Descendants]])),Tasks[[#This Row],[_LeafPV]]))</f>
        <v/>
      </c>
      <c r="BP158" s="97" t="str">
        <f aca="false">IF(Tasks[[#This Row],[Task Name]]="","",IF(Tasks[[#This Row],[_IsSummary]],SUM(INDEX(Tasks[_LeafEV],Tasks[[#This Row],[_Row]]+1):INDEX(Tasks[_LeafEV],Tasks[[#This Row],[_Row]]+Tasks[[#This Row],[_Descendants]])),Tasks[[#This Row],[_LeafEV]]))</f>
        <v/>
      </c>
      <c r="BQ158" s="97" t="str">
        <f aca="false">IF(Tasks[[#This Row],[Task Name]]="","",IF(Tasks[[#This Row],[_IsSummary]],SUM(INDEX(Tasks[_LeafAC],Tasks[[#This Row],[_Row]]+1):INDEX(Tasks[_LeafAC],Tasks[[#This Row],[_Row]]+Tasks[[#This Row],[_Descendants]])),Tasks[[#This Row],[_LeafAC]]))</f>
        <v/>
      </c>
      <c r="BR158" s="41" t="str">
        <f aca="false">IF(Tasks[[#This Row],[Task Name]]="","",MAX(1,N(Tasks[[#This Row],[Level]])))</f>
        <v/>
      </c>
      <c r="BS158" s="41" t="n">
        <f aca="false">ROW()-ROW(Tasks[[#Headers],[ID]])</f>
        <v>153</v>
      </c>
      <c r="BT158" s="41" t="n">
        <f aca="false">IF(OR(Tasks[[#This Row],[Task Name]]="",Tasks[[#This Row],[_Level]]&lt;=1),0,IFERROR(LOOKUP(2,1/(Tasks[[#Headers],[_Level]]:Tasks[[#This Row],[_Level]]=Tasks[[#This Row],[_Level]]-1),ROW(Tasks[[#Headers],[_Level]]:Tasks[[#This Row],[_Level]])),0))</f>
        <v>0</v>
      </c>
      <c r="BU158" s="41" t="n">
        <f aca="false">IFERROR(N(INDEX(Tasks[_Level],Tasks[[#This Row],[_Row]]+1)),0)</f>
        <v>0</v>
      </c>
      <c r="BV158" s="100" t="b">
        <f aca="false">AND(Tasks[[#This Row],[Task Name]]&lt;&gt;"",Tasks[[#This Row],[_NextLevel]]&gt;Tasks[[#This Row],[_Level]])</f>
        <v>0</v>
      </c>
      <c r="BW158" s="41" t="n">
        <f aca="false">IF(Tasks[[#This Row],[_IsSummary]],COUNTIF(Tasks[WBS],Tasks[[#This Row],[WBS]]&amp;".*"),0)</f>
        <v>0</v>
      </c>
      <c r="BX158" s="41" t="n">
        <f aca="false">IF(AND(Tasks[[#This Row],[Task Name]]&lt;&gt;"",NOT(Tasks[[#This Row],[_IsSummary]])),1,0)</f>
        <v>0</v>
      </c>
      <c r="BY158" s="41" t="n">
        <f aca="false">IF(N(Tasks[[#This Row],[Pred1 UID]])=0,0,IFERROR(MATCH(Tasks[[#This Row],[Pred1 UID]],Tasks[UID],0),-1))</f>
        <v>0</v>
      </c>
      <c r="BZ158" s="41" t="n">
        <f aca="false">IF(N(Tasks[[#This Row],[Pred2 UID]])=0,0,IFERROR(MATCH(Tasks[[#This Row],[Pred2 UID]],Tasks[UID],0),-1))</f>
        <v>0</v>
      </c>
      <c r="CA158" s="41" t="n">
        <f aca="false">IF(N(Tasks[[#This Row],[Pred3 UID]])=0,0,IFERROR(MATCH(Tasks[[#This Row],[Pred3 UID]],Tasks[UID],0),-1))</f>
        <v>0</v>
      </c>
      <c r="CB158" s="41" t="n">
        <f aca="false">IF(N(Tasks[[#This Row],[Pred4 UID]])=0,0,IFERROR(MATCH(Tasks[[#This Row],[Pred4 UID]],Tasks[UID],0),-1))</f>
        <v>0</v>
      </c>
      <c r="CC1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8" s="101" t="n">
        <f aca="false">IF(OR(Tasks[[#This Row],[_ConstraintCode]]=2,Tasks[[#This Row],[_ConstraintCode]]=3,Tasks[[#This Row],[_ConstraintCode]]=4,Tasks[[#This Row],[_ConstraintCode]]=6),Tasks[[#This Row],[_ConstraintStart]],0)</f>
        <v>0</v>
      </c>
      <c r="CF158" s="101" t="n">
        <f aca="false">IF(OR(Tasks[[#This Row],[_ConstraintCode]]=2,Tasks[[#This Row],[_ConstraintCode]]=3,Tasks[[#This Row],[_ConstraintCode]]=5,Tasks[[#This Row],[_ConstraintCode]]=7),Tasks[[#This Row],[_ConstraintStart]],2958465)</f>
        <v>2958465</v>
      </c>
      <c r="CG15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8" s="101" t="str">
        <f aca="false">IF(NOT(Tasks[[#This Row],[_IsLeaf]]=1),"",IF(N(Tasks[[#This Row],[Duration]])&lt;=0,Tasks[[#This Row],[_LeafCalcStart]],WORKDAY.INTL(Tasks[[#This Row],[_LeafCalcStart]],Tasks[[#This Row],[Duration]]-1,WorkWeek,Holidays)))</f>
        <v/>
      </c>
      <c r="CI15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8" s="41" t="n">
        <f aca="false">IF(NOT(Tasks[[#This Row],[_IsLeaf]]=1),0,IF(N(Tasks[[#This Row],[Actual Finish]])&gt;0,1,MIN(1,N(Tasks[[#This Row],[% Complete]]))))</f>
        <v>0</v>
      </c>
      <c r="CL158" s="41" t="n">
        <f aca="false">IF(OR(NOT(Tasks[[#This Row],[_IsLeaf]]=1),Tasks[[#This Row],[Resource]]=""),0,N(Tasks[[#This Row],[Duration]])*HoursPerDay*IF(Tasks[[#This Row],[Units]]="",DefaultUnits,Tasks[[#This Row],[Units]]))</f>
        <v>0</v>
      </c>
      <c r="CM158" s="41" t="n">
        <f aca="false">IF(Tasks[[#This Row],[_LeafWork]]=0,0,Tasks[[#This Row],[_LeafWork]]*IFERROR(INDEX(res_Rate,MATCH(Tasks[[#This Row],[Resource]],res_Name,0)),0))</f>
        <v>0</v>
      </c>
      <c r="CN158" s="41" t="n">
        <f aca="false">Tasks[[#This Row],[_LeafWork]]+IF(Tasks[[#This Row],[_IsLeaf]]=1,SUMIFS(asg_Work,asg_TaskUID,Tasks[[#This Row],[UID]],asg_Valid,1),0)</f>
        <v>0</v>
      </c>
      <c r="CO158" s="41" t="n">
        <f aca="false">Tasks[[#This Row],[_LeafCost]]+IF(Tasks[[#This Row],[_IsLeaf]]=1,SUMIFS(asg_Cost,asg_TaskUID,Tasks[[#This Row],[UID]],asg_Valid,1),0)</f>
        <v>0</v>
      </c>
      <c r="CP158" s="41" t="n">
        <f aca="false">IF(Tasks[[#This Row],[_LeafTotalCost]]=0,Tasks[[#This Row],[_LeafAC]],Tasks[[#This Row],[_LeafAC]]*Tasks[[#This Row],[_LeafCost]]/Tasks[[#This Row],[_LeafTotalCost]])</f>
        <v>0</v>
      </c>
      <c r="CQ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8" s="41" t="n">
        <f aca="false">IF(NOT(Tasks[[#This Row],[_IsLeaf]]=1),0,MAX(_xlfn.MAXIFS(Tasks[_Row],Tasks[Pred1 UID],Tasks[[#This Row],[UID]]),_xlfn.MAXIFS(Tasks[_Row],Tasks[Pred2 UID],Tasks[[#This Row],[UID]]),_xlfn.MAXIFS(Tasks[_Row],Tasks[Pred3 UID],Tasks[[#This Row],[UID]]),_xlfn.MAXIFS(Tasks[_Row],Tasks[Pred4 UID],Tasks[[#This Row],[UID]])))</f>
        <v>0</v>
      </c>
      <c r="CZ1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8" s="101" t="str">
        <f aca="false">IF(NOT(Tasks[[#This Row],[_IsLeaf]]=1),"",IF(N(Tasks[[#This Row],[Duration]])&lt;=0,Tasks[[#This Row],[_LeafLateFinish]],WORKDAY.INTL(Tasks[[#This Row],[_LeafLateFinish]],-(Tasks[[#This Row],[Duration]]-1),WorkWeek,Holidays)))</f>
        <v/>
      </c>
      <c r="DC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8" s="100" t="b">
        <f aca="false">AND(Tasks[[#This Row],[_IsLeaf]]=1,Tasks[[#This Row],[_LeafProgress]]&lt;1,N(Tasks[[#This Row],[_LeafTotalSlack]])&lt;=CriticalSlackDays)</f>
        <v>0</v>
      </c>
      <c r="DE158" s="41" t="n">
        <f aca="false">IF(AND(Tasks[[#This Row],[_IsLeaf]]=1,Tasks[[#This Row],[_ConstraintCode]]=1,Tasks[[#This Row],[Mode]]&lt;&gt;"Manual",N(Tasks[[#This Row],[Actual Start]])=0),MAX(0,N(Tasks[[#This Row],[Free Slack]])),0)</f>
        <v>0</v>
      </c>
      <c r="DF158" s="101" t="str">
        <f aca="false">IF(NOT(Tasks[[#This Row],[_IsLeaf]]=1),"",IF(Tasks[[#This Row],[_AlapShift]]=0,Tasks[[#This Row],[_LeafCalcStart]],WORKDAY.INTL(Tasks[[#This Row],[_LeafCalcStart]],Tasks[[#This Row],[_AlapShift]],WorkWeek,Holidays)))</f>
        <v/>
      </c>
      <c r="DG158" s="101" t="str">
        <f aca="false">IF(NOT(Tasks[[#This Row],[_IsLeaf]]=1),"",IF(Tasks[[#This Row],[_AlapShift]]=0,Tasks[[#This Row],[_LeafCalcFinish]],WORKDAY.INTL(Tasks[[#This Row],[_LeafCalcFinish]],Tasks[[#This Row],[_AlapShift]],WorkWeek,Holidays)))</f>
        <v/>
      </c>
      <c r="DH158" s="101" t="str">
        <f aca="false">IF(NOT(Tasks[[#This Row],[_IsLeaf]]=1),"",IF(Tasks[[#This Row],[_AlapShift]]=0,Tasks[[#This Row],[_LeafFcstStart]],WORKDAY.INTL(Tasks[[#This Row],[_LeafFcstStart]],Tasks[[#This Row],[_AlapShift]],WorkWeek,Holidays)))</f>
        <v/>
      </c>
      <c r="DI158" s="101" t="str">
        <f aca="false">IF(NOT(Tasks[[#This Row],[_IsLeaf]]=1),"",IF(Tasks[[#This Row],[_AlapShift]]=0,Tasks[[#This Row],[_LeafFcstFinish]],WORKDAY.INTL(Tasks[[#This Row],[_LeafFcstFinish]],Tasks[[#This Row],[_AlapShift]],WorkWeek,Holidays)))</f>
        <v/>
      </c>
      <c r="DJ158" s="101" t="str">
        <f aca="false">IF(Tasks[[#This Row],[Task Name]]="","",IF(Tasks[[#This Row],[_IsSummary]],MIN(INDEX(Tasks[_ShownCalcStart],Tasks[[#This Row],[_Row]]+1):INDEX(Tasks[_ShownCalcStart],Tasks[[#This Row],[_Row]]+Tasks[[#This Row],[_Descendants]])),Tasks[[#This Row],[_ShownCalcStart]]))</f>
        <v/>
      </c>
      <c r="DK158" s="101" t="str">
        <f aca="false">IF(Tasks[[#This Row],[Task Name]]="","",IF(Tasks[[#This Row],[_IsSummary]],MAX(INDEX(Tasks[_ShownCalcFinish],Tasks[[#This Row],[_Row]]+1):INDEX(Tasks[_ShownCalcFinish],Tasks[[#This Row],[_Row]]+Tasks[[#This Row],[_Descendants]])),Tasks[[#This Row],[_ShownCalcFinish]]))</f>
        <v/>
      </c>
      <c r="D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8" s="41" t="n">
        <f aca="false">IF(AND(Tasks[[#This Row],[_IsLeaf]]=1,Tasks[[#This Row],[_LeafTotalWork]]&gt;0),NETWORKDAYS.INTL(ProjectStart,Tasks[[#This Row],[_ShownFcstStart]],WorkWeek,Holidays),0)</f>
        <v>0</v>
      </c>
      <c r="DY158" s="41" t="n">
        <f aca="false">IF(AND(Tasks[[#This Row],[_IsLeaf]]=1,Tasks[[#This Row],[_LeafTotalWork]]&gt;0),MAX(Tasks[[#This Row],[_StartWorkday]],NETWORKDAYS.INTL(ProjectStart,Tasks[[#This Row],[_ShownFcstFinish]],WorkWeek,Holidays)),0)</f>
        <v>0</v>
      </c>
      <c r="DZ158" s="41" t="n">
        <f aca="false">IF(AND(Tasks[[#This Row],[_IsLeaf]]=1,Tasks[[#This Row],[_LeafTotalWork]]&gt;0),Tasks[[#This Row],[_LeafWork]]/(Tasks[[#This Row],[_FinishWorkday]]-Tasks[[#This Row],[_StartWorkday]]+1),0)</f>
        <v>0</v>
      </c>
      <c r="EA158" s="41" t="n">
        <f aca="false">Tasks[[#This Row],[_WorkPerWorkday]]*(Tasks[[#This Row],[_StartWorkday]]-1)</f>
        <v>-0</v>
      </c>
      <c r="EB158" s="41" t="n">
        <f aca="false">IF(Tasks[[#This Row],[_IsLeaf]]=1,MAX(N(Tasks[[#This Row],[Duration]]),0.1),0)</f>
        <v>0</v>
      </c>
      <c r="EC158" s="41" t="n">
        <f aca="false">Tasks[[#This Row],[_WeightDur]]*Tasks[[#This Row],[_LeafProgress]]</f>
        <v>0</v>
      </c>
      <c r="ED1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8" s="41" t="str">
        <f aca="false">IF(AND(Tasks[[#This Row],[_IsLeaf]]=1,N(Tasks[[#This Row],[Duration]])=0,Tasks[[#This Row],[_LeafProgress]]&lt;1),Tasks[[#This Row],[_ShownFcstFinish]]+Tasks[[#This Row],[_Row]]/100000,"")</f>
        <v/>
      </c>
      <c r="EF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8" s="41" t="n">
        <f aca="false">IF(NOT(Tasks[[#This Row],[_IsLeaf]]=1),0,IF(Tasks[[#This Row],[Baseline Cost]]="",Tasks[[#This Row],[_LeafTotalCost]],N(Tasks[[#This Row],[Baseline Cost]])))</f>
        <v>0</v>
      </c>
      <c r="EH158" s="41" t="n">
        <f aca="false">Tasks[[#This Row],[_LeafBudget]]*Tasks[[#This Row],[_PlannedPct]]</f>
        <v>0</v>
      </c>
      <c r="EI158" s="41" t="n">
        <f aca="false">Tasks[[#This Row],[_LeafBudget]]*Tasks[[#This Row],[_LeafProgress]]</f>
        <v>0</v>
      </c>
      <c r="EJ158" s="41" t="n">
        <f aca="false">IF(NOT(Tasks[[#This Row],[_IsLeaf]]=1),0,IF(Tasks[[#This Row],[Actual Cost]]="",Tasks[[#This Row],[_LeafTotalCost]]*Tasks[[#This Row],[_LeafProgress]],N(Tasks[[#This Row],[Actual Cost]])))</f>
        <v>0</v>
      </c>
      <c r="EK158" s="41" t="str">
        <f aca="false">IF(Tasks[[#This Row],[Task Name]]="","",LEFT(Tasks[[#This Row],[WBS]],FIND(".",Tasks[[#This Row],[WBS]]&amp;".")-1))</f>
        <v/>
      </c>
      <c r="EL158" s="41" t="str">
        <f aca="false">IF(AND(Tasks[[#This Row],[Task Name]]&lt;&gt;"",Tasks[[#This Row],[_Level]]=1),Tasks[[#This Row],[_Row]],"")</f>
        <v/>
      </c>
      <c r="EM158" s="41" t="str">
        <f aca="false">IF(AND(Tasks[[#This Row],[_IsLeaf]]=1,N(Tasks[[#This Row],[Duration]])=0),Tasks[[#This Row],[Planned Finish]]+Tasks[[#This Row],[_Row]]/100000,"")</f>
        <v/>
      </c>
      <c r="EN158" s="41" t="str">
        <f aca="false">IF(AND(Tasks[[#This Row],[_IsLeaf]]=1,Tasks[[#This Row],[_LeafProgress]]&lt;1,OR(N(Tasks[[#This Row],[Finish Var]])&gt;0,Tasks[[#This Row],[Status]]="Late Start")),MAX(0,Tasks[[#This Row],[Finish Var]])+1-Tasks[[#This Row],[_Row]]/1000000,"")</f>
        <v/>
      </c>
      <c r="EO158" s="41" t="str">
        <f aca="false">IF(AND(Tasks[[#This Row],[_IsLeaf]]=1,N(Tasks[[#This Row],[Actual Start]])=0,Tasks[[#This Row],[_ShownFcstStart]]&gt;=StatusDate,Tasks[[#This Row],[_ShownFcstStart]]&lt;=LookaheadEnd),Tasks[[#This Row],[_ShownFcstStart]]+Tasks[[#This Row],[_Row]]/100000,"")</f>
        <v/>
      </c>
      <c r="EP158" s="41" t="str">
        <f aca="false">IF(AND(Tasks[[#This Row],[_IsLeaf]]=1,Tasks[[#This Row],[_LeafProgress]]&lt;1,Tasks[[#This Row],[_ShownFcstFinish]]&gt;=StatusDate,Tasks[[#This Row],[_ShownFcstFinish]]&lt;=LookaheadEnd),Tasks[[#This Row],[_ShownFcstFinish]]+Tasks[[#This Row],[_Row]]/100000,"")</f>
        <v/>
      </c>
      <c r="EQ158" s="41" t="str">
        <f aca="false">IF(Tasks[[#This Row],[_LeafCritical]],Tasks[[#This Row],[_ShownFcstStart]]+Tasks[[#This Row],[_Row]]/100000,"")</f>
        <v/>
      </c>
      <c r="ER158" s="41" t="n">
        <f aca="false">Tasks[[#This Row],[_LeafWork]]*Tasks[[#This Row],[_LeafProgress]]</f>
        <v>0</v>
      </c>
      <c r="ES158" s="101" t="str">
        <f aca="false">IF(AND(Tasks[[#This Row],[_IsLeaf]]=1,Tasks[[#This Row],[_LeafProgress]]&gt;=1),IF(N(Tasks[[#This Row],[Actual Finish]])&gt;0,Tasks[[#This Row],[Actual Finish]],Tasks[[#This Row],[_ShownFcstFinish]]),"")</f>
        <v/>
      </c>
      <c r="ET158" s="41" t="n">
        <f aca="false">IF(Tasks[[#This Row],[_IsLeaf]]=1,N(Tasks[[#This Row],[Story Points]]),0)</f>
        <v>0</v>
      </c>
      <c r="EU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29"/>
      <c r="O159" s="29"/>
      <c r="P159" s="29"/>
      <c r="Q159" s="29"/>
      <c r="R159" s="29"/>
      <c r="S159" s="29"/>
      <c r="T159" s="30"/>
      <c r="U159" s="75"/>
      <c r="V159" s="75"/>
      <c r="W159" s="25" t="str">
        <f aca="false">IF(Tasks[[#This Row],[Task Name]]="","",IF(N(Tasks[[#This Row],[Baseline Start]])&gt;0,Tasks[[#This Row],[Baseline Start]],Tasks[[#This Row],[_CalcStart]]))</f>
        <v/>
      </c>
      <c r="X159" s="25" t="str">
        <f aca="false">IF(Tasks[[#This Row],[Task Name]]="","",IF(N(Tasks[[#This Row],[Baseline Finish]])&gt;0,Tasks[[#This Row],[Baseline Finish]],Tasks[[#This Row],[_CalcFinish]]))</f>
        <v/>
      </c>
      <c r="Y159" s="75"/>
      <c r="Z159" s="75"/>
      <c r="AA159" s="25" t="str">
        <f aca="false">IF(Tasks[[#This Row],[Task Name]]="","",IF(Tasks[[#This Row],[_IsSummary]],MIN(INDEX(Tasks[_ShownFcstStart],Tasks[[#This Row],[_Row]]+1):INDEX(Tasks[_ShownFcstStart],Tasks[[#This Row],[_Row]]+Tasks[[#This Row],[_Descendants]])),Tasks[[#This Row],[_ShownFcstStart]]))</f>
        <v/>
      </c>
      <c r="AB159" s="25" t="str">
        <f aca="false">IF(Tasks[[#This Row],[Task Name]]="","",IF(Tasks[[#This Row],[_IsSummary]],MAX(INDEX(Tasks[_ShownFcstFinish],Tasks[[#This Row],[_Row]]+1):INDEX(Tasks[_ShownFcstFinish],Tasks[[#This Row],[_Row]]+Tasks[[#This Row],[_Descendants]])),Tasks[[#This Row],[_ShownFcstFinish]]))</f>
        <v/>
      </c>
      <c r="AC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9" s="25" t="str">
        <f aca="false">IF(Tasks[[#This Row],[Task Name]]="","",IF(Tasks[[#This Row],[_IsSummary]],MIN(INDEX(Tasks[_LeafLateStart],Tasks[[#This Row],[_Row]]+1):INDEX(Tasks[_LeafLateStart],Tasks[[#This Row],[_Row]]+Tasks[[#This Row],[_Descendants]])),Tasks[[#This Row],[_LeafLateStart]]))</f>
        <v/>
      </c>
      <c r="AF159" s="25" t="str">
        <f aca="false">IF(Tasks[[#This Row],[Task Name]]="","",IF(Tasks[[#This Row],[_IsSummary]],MAX(INDEX(Tasks[_LeafLateFinish],Tasks[[#This Row],[_Row]]+1):INDEX(Tasks[_LeafLateFinish],Tasks[[#This Row],[_Row]]+Tasks[[#This Row],[_Descendants]])),Tasks[[#This Row],[_LeafLateFinish]]))</f>
        <v/>
      </c>
      <c r="AG159" s="28" t="str">
        <f aca="false">IF(Tasks[[#This Row],[Task Name]]="","",IF(Tasks[[#This Row],[_IsSummary]],MIN(INDEX(Tasks[_LeafTotalSlack],Tasks[[#This Row],[_Row]]+1):INDEX(Tasks[_LeafTotalSlack],Tasks[[#This Row],[_Row]]+Tasks[[#This Row],[_Descendants]])),Tasks[[#This Row],[_LeafTotalSlack]]))</f>
        <v/>
      </c>
      <c r="AH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9" s="28" t="str">
        <f aca="false">IF(Tasks[[#This Row],[Task Name]]="","",IF(IF(Tasks[[#This Row],[_IsSummary]],COUNTIF(INDEX(Tasks[_LeafCritical],Tasks[[#This Row],[_Row]]+1):INDEX(Tasks[_LeafCritical],Tasks[[#This Row],[_Row]]+Tasks[[#This Row],[_Descendants]]),TRUE())&gt;0,Tasks[[#This Row],[_LeafCritical]]),"Yes",""))</f>
        <v/>
      </c>
      <c r="AJ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9" s="89"/>
      <c r="AM1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9" s="28" t="str">
        <f aca="false">IF(Tasks[[#This Row],[Task Name]]="","",IF(Tasks[[#This Row],[Progress]]&gt;=1,"Complete",IF(OR(N(Tasks[[#This Row],[Actual Start]])&gt;0,Tasks[[#This Row],[Progress]]&gt;0),IF(Tasks[[#This Row],[Finish Var]]&gt;0,"Behind","In Progress"),IF(Tasks[[#This Row],[Planned Start]]&lt;StatusDate,"Late Start","Not Started"))))</f>
        <v/>
      </c>
      <c r="AO159" s="30"/>
      <c r="AP159" s="89"/>
      <c r="AQ1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9" s="96" t="str">
        <f aca="false">IF(Tasks[[#This Row],[Task Name]]="","",IF(Tasks[[#This Row],[_IsSummary]],SUM(INDEX(Tasks[_LeafTotalWork],Tasks[[#This Row],[_Row]]+1):INDEX(Tasks[_LeafTotalWork],Tasks[[#This Row],[_Row]]+Tasks[[#This Row],[_Descendants]])),Tasks[[#This Row],[_LeafTotalWork]]))</f>
        <v/>
      </c>
      <c r="AT159" s="97" t="str">
        <f aca="false">IF(Tasks[[#This Row],[Task Name]]="","",IF(Tasks[[#This Row],[_IsSummary]],SUM(INDEX(Tasks[_LeafTotalCost],Tasks[[#This Row],[_Row]]+1):INDEX(Tasks[_LeafTotalCost],Tasks[[#This Row],[_Row]]+Tasks[[#This Row],[_Descendants]])),Tasks[[#This Row],[_LeafTotalCost]]))</f>
        <v/>
      </c>
      <c r="AU159" s="98"/>
      <c r="AV159" s="29"/>
      <c r="AW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9" s="83"/>
      <c r="AY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9" s="30"/>
      <c r="BA159" s="25" t="str">
        <f aca="false">IF(Tasks[[#This Row],[Task Name]]="","",Tasks[[#This Row],[Forecast Start]])</f>
        <v/>
      </c>
      <c r="BB159" s="25" t="str">
        <f aca="false">IF(Tasks[[#This Row],[Task Name]]="","",Tasks[[#This Row],[Forecast Finish]])</f>
        <v/>
      </c>
      <c r="BC159" s="28" t="str">
        <f aca="false">IF(Tasks[[#This Row],[Task Name]]="","",IF(Tasks[[#This Row],[_IsSummary]],NETWORKDAYS.INTL(Tasks[[#This Row],[Forecast Start]],Tasks[[#This Row],[Forecast Finish]],WorkWeek,Holidays),N(Tasks[[#This Row],[Duration]])))</f>
        <v/>
      </c>
      <c r="BD159" s="96" t="str">
        <f aca="false">IF(Tasks[[#This Row],[Task Name]]="","",Tasks[[#This Row],[Work]])</f>
        <v/>
      </c>
      <c r="BE159" s="97" t="str">
        <f aca="false">IF(Tasks[[#This Row],[Task Name]]="","",Tasks[[#This Row],[Cost]])</f>
        <v/>
      </c>
      <c r="BF159" s="75"/>
      <c r="BG159" s="75"/>
      <c r="BH159" s="29"/>
      <c r="BI159" s="99"/>
      <c r="BJ159" s="98"/>
      <c r="BK159" s="28" t="str">
        <f aca="false">IF(OR(Tasks[[#This Row],[Task Name]]="",Tasks[[#This Row],[Baseline Duration]]=""),"",Tasks[[#This Row],[BL Source Duration]]-N(Tasks[[#This Row],[Baseline Duration]]))</f>
        <v/>
      </c>
      <c r="BL159" s="96" t="str">
        <f aca="false">IF(OR(Tasks[[#This Row],[Task Name]]="",Tasks[[#This Row],[Baseline Work]]=""),"",Tasks[[#This Row],[Work]]-N(Tasks[[#This Row],[Baseline Work]]))</f>
        <v/>
      </c>
      <c r="BM159" s="97" t="str">
        <f aca="false">IF(OR(Tasks[[#This Row],[Task Name]]="",Tasks[[#This Row],[Baseline Cost]]=""),"",Tasks[[#This Row],[Cost]]-N(Tasks[[#This Row],[Baseline Cost]]))</f>
        <v/>
      </c>
      <c r="BN159" s="97" t="str">
        <f aca="false">IF(Tasks[[#This Row],[Task Name]]="","",IF(Tasks[[#This Row],[_IsSummary]],SUM(INDEX(Tasks[_LeafBudget],Tasks[[#This Row],[_Row]]+1):INDEX(Tasks[_LeafBudget],Tasks[[#This Row],[_Row]]+Tasks[[#This Row],[_Descendants]])),Tasks[[#This Row],[_LeafBudget]]))</f>
        <v/>
      </c>
      <c r="BO159" s="97" t="str">
        <f aca="false">IF(Tasks[[#This Row],[Task Name]]="","",IF(Tasks[[#This Row],[_IsSummary]],SUM(INDEX(Tasks[_LeafPV],Tasks[[#This Row],[_Row]]+1):INDEX(Tasks[_LeafPV],Tasks[[#This Row],[_Row]]+Tasks[[#This Row],[_Descendants]])),Tasks[[#This Row],[_LeafPV]]))</f>
        <v/>
      </c>
      <c r="BP159" s="97" t="str">
        <f aca="false">IF(Tasks[[#This Row],[Task Name]]="","",IF(Tasks[[#This Row],[_IsSummary]],SUM(INDEX(Tasks[_LeafEV],Tasks[[#This Row],[_Row]]+1):INDEX(Tasks[_LeafEV],Tasks[[#This Row],[_Row]]+Tasks[[#This Row],[_Descendants]])),Tasks[[#This Row],[_LeafEV]]))</f>
        <v/>
      </c>
      <c r="BQ159" s="97" t="str">
        <f aca="false">IF(Tasks[[#This Row],[Task Name]]="","",IF(Tasks[[#This Row],[_IsSummary]],SUM(INDEX(Tasks[_LeafAC],Tasks[[#This Row],[_Row]]+1):INDEX(Tasks[_LeafAC],Tasks[[#This Row],[_Row]]+Tasks[[#This Row],[_Descendants]])),Tasks[[#This Row],[_LeafAC]]))</f>
        <v/>
      </c>
      <c r="BR159" s="41" t="str">
        <f aca="false">IF(Tasks[[#This Row],[Task Name]]="","",MAX(1,N(Tasks[[#This Row],[Level]])))</f>
        <v/>
      </c>
      <c r="BS159" s="41" t="n">
        <f aca="false">ROW()-ROW(Tasks[[#Headers],[ID]])</f>
        <v>154</v>
      </c>
      <c r="BT159" s="41" t="n">
        <f aca="false">IF(OR(Tasks[[#This Row],[Task Name]]="",Tasks[[#This Row],[_Level]]&lt;=1),0,IFERROR(LOOKUP(2,1/(Tasks[[#Headers],[_Level]]:Tasks[[#This Row],[_Level]]=Tasks[[#This Row],[_Level]]-1),ROW(Tasks[[#Headers],[_Level]]:Tasks[[#This Row],[_Level]])),0))</f>
        <v>0</v>
      </c>
      <c r="BU159" s="41" t="n">
        <f aca="false">IFERROR(N(INDEX(Tasks[_Level],Tasks[[#This Row],[_Row]]+1)),0)</f>
        <v>0</v>
      </c>
      <c r="BV159" s="100" t="b">
        <f aca="false">AND(Tasks[[#This Row],[Task Name]]&lt;&gt;"",Tasks[[#This Row],[_NextLevel]]&gt;Tasks[[#This Row],[_Level]])</f>
        <v>0</v>
      </c>
      <c r="BW159" s="41" t="n">
        <f aca="false">IF(Tasks[[#This Row],[_IsSummary]],COUNTIF(Tasks[WBS],Tasks[[#This Row],[WBS]]&amp;".*"),0)</f>
        <v>0</v>
      </c>
      <c r="BX159" s="41" t="n">
        <f aca="false">IF(AND(Tasks[[#This Row],[Task Name]]&lt;&gt;"",NOT(Tasks[[#This Row],[_IsSummary]])),1,0)</f>
        <v>0</v>
      </c>
      <c r="BY159" s="41" t="n">
        <f aca="false">IF(N(Tasks[[#This Row],[Pred1 UID]])=0,0,IFERROR(MATCH(Tasks[[#This Row],[Pred1 UID]],Tasks[UID],0),-1))</f>
        <v>0</v>
      </c>
      <c r="BZ159" s="41" t="n">
        <f aca="false">IF(N(Tasks[[#This Row],[Pred2 UID]])=0,0,IFERROR(MATCH(Tasks[[#This Row],[Pred2 UID]],Tasks[UID],0),-1))</f>
        <v>0</v>
      </c>
      <c r="CA159" s="41" t="n">
        <f aca="false">IF(N(Tasks[[#This Row],[Pred3 UID]])=0,0,IFERROR(MATCH(Tasks[[#This Row],[Pred3 UID]],Tasks[UID],0),-1))</f>
        <v>0</v>
      </c>
      <c r="CB159" s="41" t="n">
        <f aca="false">IF(N(Tasks[[#This Row],[Pred4 UID]])=0,0,IFERROR(MATCH(Tasks[[#This Row],[Pred4 UID]],Tasks[UID],0),-1))</f>
        <v>0</v>
      </c>
      <c r="CC1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9" s="101" t="n">
        <f aca="false">IF(OR(Tasks[[#This Row],[_ConstraintCode]]=2,Tasks[[#This Row],[_ConstraintCode]]=3,Tasks[[#This Row],[_ConstraintCode]]=4,Tasks[[#This Row],[_ConstraintCode]]=6),Tasks[[#This Row],[_ConstraintStart]],0)</f>
        <v>0</v>
      </c>
      <c r="CF159" s="101" t="n">
        <f aca="false">IF(OR(Tasks[[#This Row],[_ConstraintCode]]=2,Tasks[[#This Row],[_ConstraintCode]]=3,Tasks[[#This Row],[_ConstraintCode]]=5,Tasks[[#This Row],[_ConstraintCode]]=7),Tasks[[#This Row],[_ConstraintStart]],2958465)</f>
        <v>2958465</v>
      </c>
      <c r="CG15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9" s="101" t="str">
        <f aca="false">IF(NOT(Tasks[[#This Row],[_IsLeaf]]=1),"",IF(N(Tasks[[#This Row],[Duration]])&lt;=0,Tasks[[#This Row],[_LeafCalcStart]],WORKDAY.INTL(Tasks[[#This Row],[_LeafCalcStart]],Tasks[[#This Row],[Duration]]-1,WorkWeek,Holidays)))</f>
        <v/>
      </c>
      <c r="CI15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9" s="41" t="n">
        <f aca="false">IF(NOT(Tasks[[#This Row],[_IsLeaf]]=1),0,IF(N(Tasks[[#This Row],[Actual Finish]])&gt;0,1,MIN(1,N(Tasks[[#This Row],[% Complete]]))))</f>
        <v>0</v>
      </c>
      <c r="CL159" s="41" t="n">
        <f aca="false">IF(OR(NOT(Tasks[[#This Row],[_IsLeaf]]=1),Tasks[[#This Row],[Resource]]=""),0,N(Tasks[[#This Row],[Duration]])*HoursPerDay*IF(Tasks[[#This Row],[Units]]="",DefaultUnits,Tasks[[#This Row],[Units]]))</f>
        <v>0</v>
      </c>
      <c r="CM159" s="41" t="n">
        <f aca="false">IF(Tasks[[#This Row],[_LeafWork]]=0,0,Tasks[[#This Row],[_LeafWork]]*IFERROR(INDEX(res_Rate,MATCH(Tasks[[#This Row],[Resource]],res_Name,0)),0))</f>
        <v>0</v>
      </c>
      <c r="CN159" s="41" t="n">
        <f aca="false">Tasks[[#This Row],[_LeafWork]]+IF(Tasks[[#This Row],[_IsLeaf]]=1,SUMIFS(asg_Work,asg_TaskUID,Tasks[[#This Row],[UID]],asg_Valid,1),0)</f>
        <v>0</v>
      </c>
      <c r="CO159" s="41" t="n">
        <f aca="false">Tasks[[#This Row],[_LeafCost]]+IF(Tasks[[#This Row],[_IsLeaf]]=1,SUMIFS(asg_Cost,asg_TaskUID,Tasks[[#This Row],[UID]],asg_Valid,1),0)</f>
        <v>0</v>
      </c>
      <c r="CP159" s="41" t="n">
        <f aca="false">IF(Tasks[[#This Row],[_LeafTotalCost]]=0,Tasks[[#This Row],[_LeafAC]],Tasks[[#This Row],[_LeafAC]]*Tasks[[#This Row],[_LeafCost]]/Tasks[[#This Row],[_LeafTotalCost]])</f>
        <v>0</v>
      </c>
      <c r="CQ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9" s="41" t="n">
        <f aca="false">IF(NOT(Tasks[[#This Row],[_IsLeaf]]=1),0,MAX(_xlfn.MAXIFS(Tasks[_Row],Tasks[Pred1 UID],Tasks[[#This Row],[UID]]),_xlfn.MAXIFS(Tasks[_Row],Tasks[Pred2 UID],Tasks[[#This Row],[UID]]),_xlfn.MAXIFS(Tasks[_Row],Tasks[Pred3 UID],Tasks[[#This Row],[UID]]),_xlfn.MAXIFS(Tasks[_Row],Tasks[Pred4 UID],Tasks[[#This Row],[UID]])))</f>
        <v>0</v>
      </c>
      <c r="CZ1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9" s="101" t="str">
        <f aca="false">IF(NOT(Tasks[[#This Row],[_IsLeaf]]=1),"",IF(N(Tasks[[#This Row],[Duration]])&lt;=0,Tasks[[#This Row],[_LeafLateFinish]],WORKDAY.INTL(Tasks[[#This Row],[_LeafLateFinish]],-(Tasks[[#This Row],[Duration]]-1),WorkWeek,Holidays)))</f>
        <v/>
      </c>
      <c r="DC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9" s="100" t="b">
        <f aca="false">AND(Tasks[[#This Row],[_IsLeaf]]=1,Tasks[[#This Row],[_LeafProgress]]&lt;1,N(Tasks[[#This Row],[_LeafTotalSlack]])&lt;=CriticalSlackDays)</f>
        <v>0</v>
      </c>
      <c r="DE159" s="41" t="n">
        <f aca="false">IF(AND(Tasks[[#This Row],[_IsLeaf]]=1,Tasks[[#This Row],[_ConstraintCode]]=1,Tasks[[#This Row],[Mode]]&lt;&gt;"Manual",N(Tasks[[#This Row],[Actual Start]])=0),MAX(0,N(Tasks[[#This Row],[Free Slack]])),0)</f>
        <v>0</v>
      </c>
      <c r="DF159" s="101" t="str">
        <f aca="false">IF(NOT(Tasks[[#This Row],[_IsLeaf]]=1),"",IF(Tasks[[#This Row],[_AlapShift]]=0,Tasks[[#This Row],[_LeafCalcStart]],WORKDAY.INTL(Tasks[[#This Row],[_LeafCalcStart]],Tasks[[#This Row],[_AlapShift]],WorkWeek,Holidays)))</f>
        <v/>
      </c>
      <c r="DG159" s="101" t="str">
        <f aca="false">IF(NOT(Tasks[[#This Row],[_IsLeaf]]=1),"",IF(Tasks[[#This Row],[_AlapShift]]=0,Tasks[[#This Row],[_LeafCalcFinish]],WORKDAY.INTL(Tasks[[#This Row],[_LeafCalcFinish]],Tasks[[#This Row],[_AlapShift]],WorkWeek,Holidays)))</f>
        <v/>
      </c>
      <c r="DH159" s="101" t="str">
        <f aca="false">IF(NOT(Tasks[[#This Row],[_IsLeaf]]=1),"",IF(Tasks[[#This Row],[_AlapShift]]=0,Tasks[[#This Row],[_LeafFcstStart]],WORKDAY.INTL(Tasks[[#This Row],[_LeafFcstStart]],Tasks[[#This Row],[_AlapShift]],WorkWeek,Holidays)))</f>
        <v/>
      </c>
      <c r="DI159" s="101" t="str">
        <f aca="false">IF(NOT(Tasks[[#This Row],[_IsLeaf]]=1),"",IF(Tasks[[#This Row],[_AlapShift]]=0,Tasks[[#This Row],[_LeafFcstFinish]],WORKDAY.INTL(Tasks[[#This Row],[_LeafFcstFinish]],Tasks[[#This Row],[_AlapShift]],WorkWeek,Holidays)))</f>
        <v/>
      </c>
      <c r="DJ159" s="101" t="str">
        <f aca="false">IF(Tasks[[#This Row],[Task Name]]="","",IF(Tasks[[#This Row],[_IsSummary]],MIN(INDEX(Tasks[_ShownCalcStart],Tasks[[#This Row],[_Row]]+1):INDEX(Tasks[_ShownCalcStart],Tasks[[#This Row],[_Row]]+Tasks[[#This Row],[_Descendants]])),Tasks[[#This Row],[_ShownCalcStart]]))</f>
        <v/>
      </c>
      <c r="DK159" s="101" t="str">
        <f aca="false">IF(Tasks[[#This Row],[Task Name]]="","",IF(Tasks[[#This Row],[_IsSummary]],MAX(INDEX(Tasks[_ShownCalcFinish],Tasks[[#This Row],[_Row]]+1):INDEX(Tasks[_ShownCalcFinish],Tasks[[#This Row],[_Row]]+Tasks[[#This Row],[_Descendants]])),Tasks[[#This Row],[_ShownCalcFinish]]))</f>
        <v/>
      </c>
      <c r="D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9" s="41" t="n">
        <f aca="false">IF(AND(Tasks[[#This Row],[_IsLeaf]]=1,Tasks[[#This Row],[_LeafTotalWork]]&gt;0),NETWORKDAYS.INTL(ProjectStart,Tasks[[#This Row],[_ShownFcstStart]],WorkWeek,Holidays),0)</f>
        <v>0</v>
      </c>
      <c r="DY159" s="41" t="n">
        <f aca="false">IF(AND(Tasks[[#This Row],[_IsLeaf]]=1,Tasks[[#This Row],[_LeafTotalWork]]&gt;0),MAX(Tasks[[#This Row],[_StartWorkday]],NETWORKDAYS.INTL(ProjectStart,Tasks[[#This Row],[_ShownFcstFinish]],WorkWeek,Holidays)),0)</f>
        <v>0</v>
      </c>
      <c r="DZ159" s="41" t="n">
        <f aca="false">IF(AND(Tasks[[#This Row],[_IsLeaf]]=1,Tasks[[#This Row],[_LeafTotalWork]]&gt;0),Tasks[[#This Row],[_LeafWork]]/(Tasks[[#This Row],[_FinishWorkday]]-Tasks[[#This Row],[_StartWorkday]]+1),0)</f>
        <v>0</v>
      </c>
      <c r="EA159" s="41" t="n">
        <f aca="false">Tasks[[#This Row],[_WorkPerWorkday]]*(Tasks[[#This Row],[_StartWorkday]]-1)</f>
        <v>-0</v>
      </c>
      <c r="EB159" s="41" t="n">
        <f aca="false">IF(Tasks[[#This Row],[_IsLeaf]]=1,MAX(N(Tasks[[#This Row],[Duration]]),0.1),0)</f>
        <v>0</v>
      </c>
      <c r="EC159" s="41" t="n">
        <f aca="false">Tasks[[#This Row],[_WeightDur]]*Tasks[[#This Row],[_LeafProgress]]</f>
        <v>0</v>
      </c>
      <c r="ED1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9" s="41" t="str">
        <f aca="false">IF(AND(Tasks[[#This Row],[_IsLeaf]]=1,N(Tasks[[#This Row],[Duration]])=0,Tasks[[#This Row],[_LeafProgress]]&lt;1),Tasks[[#This Row],[_ShownFcstFinish]]+Tasks[[#This Row],[_Row]]/100000,"")</f>
        <v/>
      </c>
      <c r="EF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9" s="41" t="n">
        <f aca="false">IF(NOT(Tasks[[#This Row],[_IsLeaf]]=1),0,IF(Tasks[[#This Row],[Baseline Cost]]="",Tasks[[#This Row],[_LeafTotalCost]],N(Tasks[[#This Row],[Baseline Cost]])))</f>
        <v>0</v>
      </c>
      <c r="EH159" s="41" t="n">
        <f aca="false">Tasks[[#This Row],[_LeafBudget]]*Tasks[[#This Row],[_PlannedPct]]</f>
        <v>0</v>
      </c>
      <c r="EI159" s="41" t="n">
        <f aca="false">Tasks[[#This Row],[_LeafBudget]]*Tasks[[#This Row],[_LeafProgress]]</f>
        <v>0</v>
      </c>
      <c r="EJ159" s="41" t="n">
        <f aca="false">IF(NOT(Tasks[[#This Row],[_IsLeaf]]=1),0,IF(Tasks[[#This Row],[Actual Cost]]="",Tasks[[#This Row],[_LeafTotalCost]]*Tasks[[#This Row],[_LeafProgress]],N(Tasks[[#This Row],[Actual Cost]])))</f>
        <v>0</v>
      </c>
      <c r="EK159" s="41" t="str">
        <f aca="false">IF(Tasks[[#This Row],[Task Name]]="","",LEFT(Tasks[[#This Row],[WBS]],FIND(".",Tasks[[#This Row],[WBS]]&amp;".")-1))</f>
        <v/>
      </c>
      <c r="EL159" s="41" t="str">
        <f aca="false">IF(AND(Tasks[[#This Row],[Task Name]]&lt;&gt;"",Tasks[[#This Row],[_Level]]=1),Tasks[[#This Row],[_Row]],"")</f>
        <v/>
      </c>
      <c r="EM159" s="41" t="str">
        <f aca="false">IF(AND(Tasks[[#This Row],[_IsLeaf]]=1,N(Tasks[[#This Row],[Duration]])=0),Tasks[[#This Row],[Planned Finish]]+Tasks[[#This Row],[_Row]]/100000,"")</f>
        <v/>
      </c>
      <c r="EN159" s="41" t="str">
        <f aca="false">IF(AND(Tasks[[#This Row],[_IsLeaf]]=1,Tasks[[#This Row],[_LeafProgress]]&lt;1,OR(N(Tasks[[#This Row],[Finish Var]])&gt;0,Tasks[[#This Row],[Status]]="Late Start")),MAX(0,Tasks[[#This Row],[Finish Var]])+1-Tasks[[#This Row],[_Row]]/1000000,"")</f>
        <v/>
      </c>
      <c r="EO159" s="41" t="str">
        <f aca="false">IF(AND(Tasks[[#This Row],[_IsLeaf]]=1,N(Tasks[[#This Row],[Actual Start]])=0,Tasks[[#This Row],[_ShownFcstStart]]&gt;=StatusDate,Tasks[[#This Row],[_ShownFcstStart]]&lt;=LookaheadEnd),Tasks[[#This Row],[_ShownFcstStart]]+Tasks[[#This Row],[_Row]]/100000,"")</f>
        <v/>
      </c>
      <c r="EP159" s="41" t="str">
        <f aca="false">IF(AND(Tasks[[#This Row],[_IsLeaf]]=1,Tasks[[#This Row],[_LeafProgress]]&lt;1,Tasks[[#This Row],[_ShownFcstFinish]]&gt;=StatusDate,Tasks[[#This Row],[_ShownFcstFinish]]&lt;=LookaheadEnd),Tasks[[#This Row],[_ShownFcstFinish]]+Tasks[[#This Row],[_Row]]/100000,"")</f>
        <v/>
      </c>
      <c r="EQ159" s="41" t="str">
        <f aca="false">IF(Tasks[[#This Row],[_LeafCritical]],Tasks[[#This Row],[_ShownFcstStart]]+Tasks[[#This Row],[_Row]]/100000,"")</f>
        <v/>
      </c>
      <c r="ER159" s="41" t="n">
        <f aca="false">Tasks[[#This Row],[_LeafWork]]*Tasks[[#This Row],[_LeafProgress]]</f>
        <v>0</v>
      </c>
      <c r="ES159" s="101" t="str">
        <f aca="false">IF(AND(Tasks[[#This Row],[_IsLeaf]]=1,Tasks[[#This Row],[_LeafProgress]]&gt;=1),IF(N(Tasks[[#This Row],[Actual Finish]])&gt;0,Tasks[[#This Row],[Actual Finish]],Tasks[[#This Row],[_ShownFcstFinish]]),"")</f>
        <v/>
      </c>
      <c r="ET159" s="41" t="n">
        <f aca="false">IF(Tasks[[#This Row],[_IsLeaf]]=1,N(Tasks[[#This Row],[Story Points]]),0)</f>
        <v>0</v>
      </c>
      <c r="EU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29"/>
      <c r="O160" s="29"/>
      <c r="P160" s="29"/>
      <c r="Q160" s="29"/>
      <c r="R160" s="29"/>
      <c r="S160" s="29"/>
      <c r="T160" s="30"/>
      <c r="U160" s="75"/>
      <c r="V160" s="75"/>
      <c r="W160" s="25" t="str">
        <f aca="false">IF(Tasks[[#This Row],[Task Name]]="","",IF(N(Tasks[[#This Row],[Baseline Start]])&gt;0,Tasks[[#This Row],[Baseline Start]],Tasks[[#This Row],[_CalcStart]]))</f>
        <v/>
      </c>
      <c r="X160" s="25" t="str">
        <f aca="false">IF(Tasks[[#This Row],[Task Name]]="","",IF(N(Tasks[[#This Row],[Baseline Finish]])&gt;0,Tasks[[#This Row],[Baseline Finish]],Tasks[[#This Row],[_CalcFinish]]))</f>
        <v/>
      </c>
      <c r="Y160" s="75"/>
      <c r="Z160" s="75"/>
      <c r="AA160" s="25" t="str">
        <f aca="false">IF(Tasks[[#This Row],[Task Name]]="","",IF(Tasks[[#This Row],[_IsSummary]],MIN(INDEX(Tasks[_ShownFcstStart],Tasks[[#This Row],[_Row]]+1):INDEX(Tasks[_ShownFcstStart],Tasks[[#This Row],[_Row]]+Tasks[[#This Row],[_Descendants]])),Tasks[[#This Row],[_ShownFcstStart]]))</f>
        <v/>
      </c>
      <c r="AB160" s="25" t="str">
        <f aca="false">IF(Tasks[[#This Row],[Task Name]]="","",IF(Tasks[[#This Row],[_IsSummary]],MAX(INDEX(Tasks[_ShownFcstFinish],Tasks[[#This Row],[_Row]]+1):INDEX(Tasks[_ShownFcstFinish],Tasks[[#This Row],[_Row]]+Tasks[[#This Row],[_Descendants]])),Tasks[[#This Row],[_ShownFcstFinish]]))</f>
        <v/>
      </c>
      <c r="AC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0" s="25" t="str">
        <f aca="false">IF(Tasks[[#This Row],[Task Name]]="","",IF(Tasks[[#This Row],[_IsSummary]],MIN(INDEX(Tasks[_LeafLateStart],Tasks[[#This Row],[_Row]]+1):INDEX(Tasks[_LeafLateStart],Tasks[[#This Row],[_Row]]+Tasks[[#This Row],[_Descendants]])),Tasks[[#This Row],[_LeafLateStart]]))</f>
        <v/>
      </c>
      <c r="AF160" s="25" t="str">
        <f aca="false">IF(Tasks[[#This Row],[Task Name]]="","",IF(Tasks[[#This Row],[_IsSummary]],MAX(INDEX(Tasks[_LeafLateFinish],Tasks[[#This Row],[_Row]]+1):INDEX(Tasks[_LeafLateFinish],Tasks[[#This Row],[_Row]]+Tasks[[#This Row],[_Descendants]])),Tasks[[#This Row],[_LeafLateFinish]]))</f>
        <v/>
      </c>
      <c r="AG160" s="28" t="str">
        <f aca="false">IF(Tasks[[#This Row],[Task Name]]="","",IF(Tasks[[#This Row],[_IsSummary]],MIN(INDEX(Tasks[_LeafTotalSlack],Tasks[[#This Row],[_Row]]+1):INDEX(Tasks[_LeafTotalSlack],Tasks[[#This Row],[_Row]]+Tasks[[#This Row],[_Descendants]])),Tasks[[#This Row],[_LeafTotalSlack]]))</f>
        <v/>
      </c>
      <c r="AH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0" s="28" t="str">
        <f aca="false">IF(Tasks[[#This Row],[Task Name]]="","",IF(IF(Tasks[[#This Row],[_IsSummary]],COUNTIF(INDEX(Tasks[_LeafCritical],Tasks[[#This Row],[_Row]]+1):INDEX(Tasks[_LeafCritical],Tasks[[#This Row],[_Row]]+Tasks[[#This Row],[_Descendants]]),TRUE())&gt;0,Tasks[[#This Row],[_LeafCritical]]),"Yes",""))</f>
        <v/>
      </c>
      <c r="AJ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0" s="89"/>
      <c r="AM1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0" s="28" t="str">
        <f aca="false">IF(Tasks[[#This Row],[Task Name]]="","",IF(Tasks[[#This Row],[Progress]]&gt;=1,"Complete",IF(OR(N(Tasks[[#This Row],[Actual Start]])&gt;0,Tasks[[#This Row],[Progress]]&gt;0),IF(Tasks[[#This Row],[Finish Var]]&gt;0,"Behind","In Progress"),IF(Tasks[[#This Row],[Planned Start]]&lt;StatusDate,"Late Start","Not Started"))))</f>
        <v/>
      </c>
      <c r="AO160" s="30"/>
      <c r="AP160" s="89"/>
      <c r="AQ1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0" s="96" t="str">
        <f aca="false">IF(Tasks[[#This Row],[Task Name]]="","",IF(Tasks[[#This Row],[_IsSummary]],SUM(INDEX(Tasks[_LeafTotalWork],Tasks[[#This Row],[_Row]]+1):INDEX(Tasks[_LeafTotalWork],Tasks[[#This Row],[_Row]]+Tasks[[#This Row],[_Descendants]])),Tasks[[#This Row],[_LeafTotalWork]]))</f>
        <v/>
      </c>
      <c r="AT160" s="97" t="str">
        <f aca="false">IF(Tasks[[#This Row],[Task Name]]="","",IF(Tasks[[#This Row],[_IsSummary]],SUM(INDEX(Tasks[_LeafTotalCost],Tasks[[#This Row],[_Row]]+1):INDEX(Tasks[_LeafTotalCost],Tasks[[#This Row],[_Row]]+Tasks[[#This Row],[_Descendants]])),Tasks[[#This Row],[_LeafTotalCost]]))</f>
        <v/>
      </c>
      <c r="AU160" s="98"/>
      <c r="AV160" s="29"/>
      <c r="AW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0" s="83"/>
      <c r="AY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0" s="30"/>
      <c r="BA160" s="25" t="str">
        <f aca="false">IF(Tasks[[#This Row],[Task Name]]="","",Tasks[[#This Row],[Forecast Start]])</f>
        <v/>
      </c>
      <c r="BB160" s="25" t="str">
        <f aca="false">IF(Tasks[[#This Row],[Task Name]]="","",Tasks[[#This Row],[Forecast Finish]])</f>
        <v/>
      </c>
      <c r="BC160" s="28" t="str">
        <f aca="false">IF(Tasks[[#This Row],[Task Name]]="","",IF(Tasks[[#This Row],[_IsSummary]],NETWORKDAYS.INTL(Tasks[[#This Row],[Forecast Start]],Tasks[[#This Row],[Forecast Finish]],WorkWeek,Holidays),N(Tasks[[#This Row],[Duration]])))</f>
        <v/>
      </c>
      <c r="BD160" s="96" t="str">
        <f aca="false">IF(Tasks[[#This Row],[Task Name]]="","",Tasks[[#This Row],[Work]])</f>
        <v/>
      </c>
      <c r="BE160" s="97" t="str">
        <f aca="false">IF(Tasks[[#This Row],[Task Name]]="","",Tasks[[#This Row],[Cost]])</f>
        <v/>
      </c>
      <c r="BF160" s="75"/>
      <c r="BG160" s="75"/>
      <c r="BH160" s="29"/>
      <c r="BI160" s="99"/>
      <c r="BJ160" s="98"/>
      <c r="BK160" s="28" t="str">
        <f aca="false">IF(OR(Tasks[[#This Row],[Task Name]]="",Tasks[[#This Row],[Baseline Duration]]=""),"",Tasks[[#This Row],[BL Source Duration]]-N(Tasks[[#This Row],[Baseline Duration]]))</f>
        <v/>
      </c>
      <c r="BL160" s="96" t="str">
        <f aca="false">IF(OR(Tasks[[#This Row],[Task Name]]="",Tasks[[#This Row],[Baseline Work]]=""),"",Tasks[[#This Row],[Work]]-N(Tasks[[#This Row],[Baseline Work]]))</f>
        <v/>
      </c>
      <c r="BM160" s="97" t="str">
        <f aca="false">IF(OR(Tasks[[#This Row],[Task Name]]="",Tasks[[#This Row],[Baseline Cost]]=""),"",Tasks[[#This Row],[Cost]]-N(Tasks[[#This Row],[Baseline Cost]]))</f>
        <v/>
      </c>
      <c r="BN160" s="97" t="str">
        <f aca="false">IF(Tasks[[#This Row],[Task Name]]="","",IF(Tasks[[#This Row],[_IsSummary]],SUM(INDEX(Tasks[_LeafBudget],Tasks[[#This Row],[_Row]]+1):INDEX(Tasks[_LeafBudget],Tasks[[#This Row],[_Row]]+Tasks[[#This Row],[_Descendants]])),Tasks[[#This Row],[_LeafBudget]]))</f>
        <v/>
      </c>
      <c r="BO160" s="97" t="str">
        <f aca="false">IF(Tasks[[#This Row],[Task Name]]="","",IF(Tasks[[#This Row],[_IsSummary]],SUM(INDEX(Tasks[_LeafPV],Tasks[[#This Row],[_Row]]+1):INDEX(Tasks[_LeafPV],Tasks[[#This Row],[_Row]]+Tasks[[#This Row],[_Descendants]])),Tasks[[#This Row],[_LeafPV]]))</f>
        <v/>
      </c>
      <c r="BP160" s="97" t="str">
        <f aca="false">IF(Tasks[[#This Row],[Task Name]]="","",IF(Tasks[[#This Row],[_IsSummary]],SUM(INDEX(Tasks[_LeafEV],Tasks[[#This Row],[_Row]]+1):INDEX(Tasks[_LeafEV],Tasks[[#This Row],[_Row]]+Tasks[[#This Row],[_Descendants]])),Tasks[[#This Row],[_LeafEV]]))</f>
        <v/>
      </c>
      <c r="BQ160" s="97" t="str">
        <f aca="false">IF(Tasks[[#This Row],[Task Name]]="","",IF(Tasks[[#This Row],[_IsSummary]],SUM(INDEX(Tasks[_LeafAC],Tasks[[#This Row],[_Row]]+1):INDEX(Tasks[_LeafAC],Tasks[[#This Row],[_Row]]+Tasks[[#This Row],[_Descendants]])),Tasks[[#This Row],[_LeafAC]]))</f>
        <v/>
      </c>
      <c r="BR160" s="41" t="str">
        <f aca="false">IF(Tasks[[#This Row],[Task Name]]="","",MAX(1,N(Tasks[[#This Row],[Level]])))</f>
        <v/>
      </c>
      <c r="BS160" s="41" t="n">
        <f aca="false">ROW()-ROW(Tasks[[#Headers],[ID]])</f>
        <v>155</v>
      </c>
      <c r="BT160" s="41" t="n">
        <f aca="false">IF(OR(Tasks[[#This Row],[Task Name]]="",Tasks[[#This Row],[_Level]]&lt;=1),0,IFERROR(LOOKUP(2,1/(Tasks[[#Headers],[_Level]]:Tasks[[#This Row],[_Level]]=Tasks[[#This Row],[_Level]]-1),ROW(Tasks[[#Headers],[_Level]]:Tasks[[#This Row],[_Level]])),0))</f>
        <v>0</v>
      </c>
      <c r="BU160" s="41" t="n">
        <f aca="false">IFERROR(N(INDEX(Tasks[_Level],Tasks[[#This Row],[_Row]]+1)),0)</f>
        <v>0</v>
      </c>
      <c r="BV160" s="100" t="b">
        <f aca="false">AND(Tasks[[#This Row],[Task Name]]&lt;&gt;"",Tasks[[#This Row],[_NextLevel]]&gt;Tasks[[#This Row],[_Level]])</f>
        <v>0</v>
      </c>
      <c r="BW160" s="41" t="n">
        <f aca="false">IF(Tasks[[#This Row],[_IsSummary]],COUNTIF(Tasks[WBS],Tasks[[#This Row],[WBS]]&amp;".*"),0)</f>
        <v>0</v>
      </c>
      <c r="BX160" s="41" t="n">
        <f aca="false">IF(AND(Tasks[[#This Row],[Task Name]]&lt;&gt;"",NOT(Tasks[[#This Row],[_IsSummary]])),1,0)</f>
        <v>0</v>
      </c>
      <c r="BY160" s="41" t="n">
        <f aca="false">IF(N(Tasks[[#This Row],[Pred1 UID]])=0,0,IFERROR(MATCH(Tasks[[#This Row],[Pred1 UID]],Tasks[UID],0),-1))</f>
        <v>0</v>
      </c>
      <c r="BZ160" s="41" t="n">
        <f aca="false">IF(N(Tasks[[#This Row],[Pred2 UID]])=0,0,IFERROR(MATCH(Tasks[[#This Row],[Pred2 UID]],Tasks[UID],0),-1))</f>
        <v>0</v>
      </c>
      <c r="CA160" s="41" t="n">
        <f aca="false">IF(N(Tasks[[#This Row],[Pred3 UID]])=0,0,IFERROR(MATCH(Tasks[[#This Row],[Pred3 UID]],Tasks[UID],0),-1))</f>
        <v>0</v>
      </c>
      <c r="CB160" s="41" t="n">
        <f aca="false">IF(N(Tasks[[#This Row],[Pred4 UID]])=0,0,IFERROR(MATCH(Tasks[[#This Row],[Pred4 UID]],Tasks[UID],0),-1))</f>
        <v>0</v>
      </c>
      <c r="CC1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0" s="101" t="n">
        <f aca="false">IF(OR(Tasks[[#This Row],[_ConstraintCode]]=2,Tasks[[#This Row],[_ConstraintCode]]=3,Tasks[[#This Row],[_ConstraintCode]]=4,Tasks[[#This Row],[_ConstraintCode]]=6),Tasks[[#This Row],[_ConstraintStart]],0)</f>
        <v>0</v>
      </c>
      <c r="CF160" s="101" t="n">
        <f aca="false">IF(OR(Tasks[[#This Row],[_ConstraintCode]]=2,Tasks[[#This Row],[_ConstraintCode]]=3,Tasks[[#This Row],[_ConstraintCode]]=5,Tasks[[#This Row],[_ConstraintCode]]=7),Tasks[[#This Row],[_ConstraintStart]],2958465)</f>
        <v>2958465</v>
      </c>
      <c r="CG16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0" s="101" t="str">
        <f aca="false">IF(NOT(Tasks[[#This Row],[_IsLeaf]]=1),"",IF(N(Tasks[[#This Row],[Duration]])&lt;=0,Tasks[[#This Row],[_LeafCalcStart]],WORKDAY.INTL(Tasks[[#This Row],[_LeafCalcStart]],Tasks[[#This Row],[Duration]]-1,WorkWeek,Holidays)))</f>
        <v/>
      </c>
      <c r="CI16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0" s="41" t="n">
        <f aca="false">IF(NOT(Tasks[[#This Row],[_IsLeaf]]=1),0,IF(N(Tasks[[#This Row],[Actual Finish]])&gt;0,1,MIN(1,N(Tasks[[#This Row],[% Complete]]))))</f>
        <v>0</v>
      </c>
      <c r="CL160" s="41" t="n">
        <f aca="false">IF(OR(NOT(Tasks[[#This Row],[_IsLeaf]]=1),Tasks[[#This Row],[Resource]]=""),0,N(Tasks[[#This Row],[Duration]])*HoursPerDay*IF(Tasks[[#This Row],[Units]]="",DefaultUnits,Tasks[[#This Row],[Units]]))</f>
        <v>0</v>
      </c>
      <c r="CM160" s="41" t="n">
        <f aca="false">IF(Tasks[[#This Row],[_LeafWork]]=0,0,Tasks[[#This Row],[_LeafWork]]*IFERROR(INDEX(res_Rate,MATCH(Tasks[[#This Row],[Resource]],res_Name,0)),0))</f>
        <v>0</v>
      </c>
      <c r="CN160" s="41" t="n">
        <f aca="false">Tasks[[#This Row],[_LeafWork]]+IF(Tasks[[#This Row],[_IsLeaf]]=1,SUMIFS(asg_Work,asg_TaskUID,Tasks[[#This Row],[UID]],asg_Valid,1),0)</f>
        <v>0</v>
      </c>
      <c r="CO160" s="41" t="n">
        <f aca="false">Tasks[[#This Row],[_LeafCost]]+IF(Tasks[[#This Row],[_IsLeaf]]=1,SUMIFS(asg_Cost,asg_TaskUID,Tasks[[#This Row],[UID]],asg_Valid,1),0)</f>
        <v>0</v>
      </c>
      <c r="CP160" s="41" t="n">
        <f aca="false">IF(Tasks[[#This Row],[_LeafTotalCost]]=0,Tasks[[#This Row],[_LeafAC]],Tasks[[#This Row],[_LeafAC]]*Tasks[[#This Row],[_LeafCost]]/Tasks[[#This Row],[_LeafTotalCost]])</f>
        <v>0</v>
      </c>
      <c r="CQ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0" s="41" t="n">
        <f aca="false">IF(NOT(Tasks[[#This Row],[_IsLeaf]]=1),0,MAX(_xlfn.MAXIFS(Tasks[_Row],Tasks[Pred1 UID],Tasks[[#This Row],[UID]]),_xlfn.MAXIFS(Tasks[_Row],Tasks[Pred2 UID],Tasks[[#This Row],[UID]]),_xlfn.MAXIFS(Tasks[_Row],Tasks[Pred3 UID],Tasks[[#This Row],[UID]]),_xlfn.MAXIFS(Tasks[_Row],Tasks[Pred4 UID],Tasks[[#This Row],[UID]])))</f>
        <v>0</v>
      </c>
      <c r="CZ1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0" s="101" t="str">
        <f aca="false">IF(NOT(Tasks[[#This Row],[_IsLeaf]]=1),"",IF(N(Tasks[[#This Row],[Duration]])&lt;=0,Tasks[[#This Row],[_LeafLateFinish]],WORKDAY.INTL(Tasks[[#This Row],[_LeafLateFinish]],-(Tasks[[#This Row],[Duration]]-1),WorkWeek,Holidays)))</f>
        <v/>
      </c>
      <c r="DC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0" s="100" t="b">
        <f aca="false">AND(Tasks[[#This Row],[_IsLeaf]]=1,Tasks[[#This Row],[_LeafProgress]]&lt;1,N(Tasks[[#This Row],[_LeafTotalSlack]])&lt;=CriticalSlackDays)</f>
        <v>0</v>
      </c>
      <c r="DE160" s="41" t="n">
        <f aca="false">IF(AND(Tasks[[#This Row],[_IsLeaf]]=1,Tasks[[#This Row],[_ConstraintCode]]=1,Tasks[[#This Row],[Mode]]&lt;&gt;"Manual",N(Tasks[[#This Row],[Actual Start]])=0),MAX(0,N(Tasks[[#This Row],[Free Slack]])),0)</f>
        <v>0</v>
      </c>
      <c r="DF160" s="101" t="str">
        <f aca="false">IF(NOT(Tasks[[#This Row],[_IsLeaf]]=1),"",IF(Tasks[[#This Row],[_AlapShift]]=0,Tasks[[#This Row],[_LeafCalcStart]],WORKDAY.INTL(Tasks[[#This Row],[_LeafCalcStart]],Tasks[[#This Row],[_AlapShift]],WorkWeek,Holidays)))</f>
        <v/>
      </c>
      <c r="DG160" s="101" t="str">
        <f aca="false">IF(NOT(Tasks[[#This Row],[_IsLeaf]]=1),"",IF(Tasks[[#This Row],[_AlapShift]]=0,Tasks[[#This Row],[_LeafCalcFinish]],WORKDAY.INTL(Tasks[[#This Row],[_LeafCalcFinish]],Tasks[[#This Row],[_AlapShift]],WorkWeek,Holidays)))</f>
        <v/>
      </c>
      <c r="DH160" s="101" t="str">
        <f aca="false">IF(NOT(Tasks[[#This Row],[_IsLeaf]]=1),"",IF(Tasks[[#This Row],[_AlapShift]]=0,Tasks[[#This Row],[_LeafFcstStart]],WORKDAY.INTL(Tasks[[#This Row],[_LeafFcstStart]],Tasks[[#This Row],[_AlapShift]],WorkWeek,Holidays)))</f>
        <v/>
      </c>
      <c r="DI160" s="101" t="str">
        <f aca="false">IF(NOT(Tasks[[#This Row],[_IsLeaf]]=1),"",IF(Tasks[[#This Row],[_AlapShift]]=0,Tasks[[#This Row],[_LeafFcstFinish]],WORKDAY.INTL(Tasks[[#This Row],[_LeafFcstFinish]],Tasks[[#This Row],[_AlapShift]],WorkWeek,Holidays)))</f>
        <v/>
      </c>
      <c r="DJ160" s="101" t="str">
        <f aca="false">IF(Tasks[[#This Row],[Task Name]]="","",IF(Tasks[[#This Row],[_IsSummary]],MIN(INDEX(Tasks[_ShownCalcStart],Tasks[[#This Row],[_Row]]+1):INDEX(Tasks[_ShownCalcStart],Tasks[[#This Row],[_Row]]+Tasks[[#This Row],[_Descendants]])),Tasks[[#This Row],[_ShownCalcStart]]))</f>
        <v/>
      </c>
      <c r="DK160" s="101" t="str">
        <f aca="false">IF(Tasks[[#This Row],[Task Name]]="","",IF(Tasks[[#This Row],[_IsSummary]],MAX(INDEX(Tasks[_ShownCalcFinish],Tasks[[#This Row],[_Row]]+1):INDEX(Tasks[_ShownCalcFinish],Tasks[[#This Row],[_Row]]+Tasks[[#This Row],[_Descendants]])),Tasks[[#This Row],[_ShownCalcFinish]]))</f>
        <v/>
      </c>
      <c r="D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0" s="41" t="n">
        <f aca="false">IF(AND(Tasks[[#This Row],[_IsLeaf]]=1,Tasks[[#This Row],[_LeafTotalWork]]&gt;0),NETWORKDAYS.INTL(ProjectStart,Tasks[[#This Row],[_ShownFcstStart]],WorkWeek,Holidays),0)</f>
        <v>0</v>
      </c>
      <c r="DY160" s="41" t="n">
        <f aca="false">IF(AND(Tasks[[#This Row],[_IsLeaf]]=1,Tasks[[#This Row],[_LeafTotalWork]]&gt;0),MAX(Tasks[[#This Row],[_StartWorkday]],NETWORKDAYS.INTL(ProjectStart,Tasks[[#This Row],[_ShownFcstFinish]],WorkWeek,Holidays)),0)</f>
        <v>0</v>
      </c>
      <c r="DZ160" s="41" t="n">
        <f aca="false">IF(AND(Tasks[[#This Row],[_IsLeaf]]=1,Tasks[[#This Row],[_LeafTotalWork]]&gt;0),Tasks[[#This Row],[_LeafWork]]/(Tasks[[#This Row],[_FinishWorkday]]-Tasks[[#This Row],[_StartWorkday]]+1),0)</f>
        <v>0</v>
      </c>
      <c r="EA160" s="41" t="n">
        <f aca="false">Tasks[[#This Row],[_WorkPerWorkday]]*(Tasks[[#This Row],[_StartWorkday]]-1)</f>
        <v>-0</v>
      </c>
      <c r="EB160" s="41" t="n">
        <f aca="false">IF(Tasks[[#This Row],[_IsLeaf]]=1,MAX(N(Tasks[[#This Row],[Duration]]),0.1),0)</f>
        <v>0</v>
      </c>
      <c r="EC160" s="41" t="n">
        <f aca="false">Tasks[[#This Row],[_WeightDur]]*Tasks[[#This Row],[_LeafProgress]]</f>
        <v>0</v>
      </c>
      <c r="ED1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0" s="41" t="str">
        <f aca="false">IF(AND(Tasks[[#This Row],[_IsLeaf]]=1,N(Tasks[[#This Row],[Duration]])=0,Tasks[[#This Row],[_LeafProgress]]&lt;1),Tasks[[#This Row],[_ShownFcstFinish]]+Tasks[[#This Row],[_Row]]/100000,"")</f>
        <v/>
      </c>
      <c r="EF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0" s="41" t="n">
        <f aca="false">IF(NOT(Tasks[[#This Row],[_IsLeaf]]=1),0,IF(Tasks[[#This Row],[Baseline Cost]]="",Tasks[[#This Row],[_LeafTotalCost]],N(Tasks[[#This Row],[Baseline Cost]])))</f>
        <v>0</v>
      </c>
      <c r="EH160" s="41" t="n">
        <f aca="false">Tasks[[#This Row],[_LeafBudget]]*Tasks[[#This Row],[_PlannedPct]]</f>
        <v>0</v>
      </c>
      <c r="EI160" s="41" t="n">
        <f aca="false">Tasks[[#This Row],[_LeafBudget]]*Tasks[[#This Row],[_LeafProgress]]</f>
        <v>0</v>
      </c>
      <c r="EJ160" s="41" t="n">
        <f aca="false">IF(NOT(Tasks[[#This Row],[_IsLeaf]]=1),0,IF(Tasks[[#This Row],[Actual Cost]]="",Tasks[[#This Row],[_LeafTotalCost]]*Tasks[[#This Row],[_LeafProgress]],N(Tasks[[#This Row],[Actual Cost]])))</f>
        <v>0</v>
      </c>
      <c r="EK160" s="41" t="str">
        <f aca="false">IF(Tasks[[#This Row],[Task Name]]="","",LEFT(Tasks[[#This Row],[WBS]],FIND(".",Tasks[[#This Row],[WBS]]&amp;".")-1))</f>
        <v/>
      </c>
      <c r="EL160" s="41" t="str">
        <f aca="false">IF(AND(Tasks[[#This Row],[Task Name]]&lt;&gt;"",Tasks[[#This Row],[_Level]]=1),Tasks[[#This Row],[_Row]],"")</f>
        <v/>
      </c>
      <c r="EM160" s="41" t="str">
        <f aca="false">IF(AND(Tasks[[#This Row],[_IsLeaf]]=1,N(Tasks[[#This Row],[Duration]])=0),Tasks[[#This Row],[Planned Finish]]+Tasks[[#This Row],[_Row]]/100000,"")</f>
        <v/>
      </c>
      <c r="EN160" s="41" t="str">
        <f aca="false">IF(AND(Tasks[[#This Row],[_IsLeaf]]=1,Tasks[[#This Row],[_LeafProgress]]&lt;1,OR(N(Tasks[[#This Row],[Finish Var]])&gt;0,Tasks[[#This Row],[Status]]="Late Start")),MAX(0,Tasks[[#This Row],[Finish Var]])+1-Tasks[[#This Row],[_Row]]/1000000,"")</f>
        <v/>
      </c>
      <c r="EO160" s="41" t="str">
        <f aca="false">IF(AND(Tasks[[#This Row],[_IsLeaf]]=1,N(Tasks[[#This Row],[Actual Start]])=0,Tasks[[#This Row],[_ShownFcstStart]]&gt;=StatusDate,Tasks[[#This Row],[_ShownFcstStart]]&lt;=LookaheadEnd),Tasks[[#This Row],[_ShownFcstStart]]+Tasks[[#This Row],[_Row]]/100000,"")</f>
        <v/>
      </c>
      <c r="EP160" s="41" t="str">
        <f aca="false">IF(AND(Tasks[[#This Row],[_IsLeaf]]=1,Tasks[[#This Row],[_LeafProgress]]&lt;1,Tasks[[#This Row],[_ShownFcstFinish]]&gt;=StatusDate,Tasks[[#This Row],[_ShownFcstFinish]]&lt;=LookaheadEnd),Tasks[[#This Row],[_ShownFcstFinish]]+Tasks[[#This Row],[_Row]]/100000,"")</f>
        <v/>
      </c>
      <c r="EQ160" s="41" t="str">
        <f aca="false">IF(Tasks[[#This Row],[_LeafCritical]],Tasks[[#This Row],[_ShownFcstStart]]+Tasks[[#This Row],[_Row]]/100000,"")</f>
        <v/>
      </c>
      <c r="ER160" s="41" t="n">
        <f aca="false">Tasks[[#This Row],[_LeafWork]]*Tasks[[#This Row],[_LeafProgress]]</f>
        <v>0</v>
      </c>
      <c r="ES160" s="101" t="str">
        <f aca="false">IF(AND(Tasks[[#This Row],[_IsLeaf]]=1,Tasks[[#This Row],[_LeafProgress]]&gt;=1),IF(N(Tasks[[#This Row],[Actual Finish]])&gt;0,Tasks[[#This Row],[Actual Finish]],Tasks[[#This Row],[_ShownFcstFinish]]),"")</f>
        <v/>
      </c>
      <c r="ET160" s="41" t="n">
        <f aca="false">IF(Tasks[[#This Row],[_IsLeaf]]=1,N(Tasks[[#This Row],[Story Points]]),0)</f>
        <v>0</v>
      </c>
      <c r="EU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29"/>
      <c r="O161" s="29"/>
      <c r="P161" s="29"/>
      <c r="Q161" s="29"/>
      <c r="R161" s="29"/>
      <c r="S161" s="29"/>
      <c r="T161" s="30"/>
      <c r="U161" s="75"/>
      <c r="V161" s="75"/>
      <c r="W161" s="25" t="str">
        <f aca="false">IF(Tasks[[#This Row],[Task Name]]="","",IF(N(Tasks[[#This Row],[Baseline Start]])&gt;0,Tasks[[#This Row],[Baseline Start]],Tasks[[#This Row],[_CalcStart]]))</f>
        <v/>
      </c>
      <c r="X161" s="25" t="str">
        <f aca="false">IF(Tasks[[#This Row],[Task Name]]="","",IF(N(Tasks[[#This Row],[Baseline Finish]])&gt;0,Tasks[[#This Row],[Baseline Finish]],Tasks[[#This Row],[_CalcFinish]]))</f>
        <v/>
      </c>
      <c r="Y161" s="75"/>
      <c r="Z161" s="75"/>
      <c r="AA161" s="25" t="str">
        <f aca="false">IF(Tasks[[#This Row],[Task Name]]="","",IF(Tasks[[#This Row],[_IsSummary]],MIN(INDEX(Tasks[_ShownFcstStart],Tasks[[#This Row],[_Row]]+1):INDEX(Tasks[_ShownFcstStart],Tasks[[#This Row],[_Row]]+Tasks[[#This Row],[_Descendants]])),Tasks[[#This Row],[_ShownFcstStart]]))</f>
        <v/>
      </c>
      <c r="AB161" s="25" t="str">
        <f aca="false">IF(Tasks[[#This Row],[Task Name]]="","",IF(Tasks[[#This Row],[_IsSummary]],MAX(INDEX(Tasks[_ShownFcstFinish],Tasks[[#This Row],[_Row]]+1):INDEX(Tasks[_ShownFcstFinish],Tasks[[#This Row],[_Row]]+Tasks[[#This Row],[_Descendants]])),Tasks[[#This Row],[_ShownFcstFinish]]))</f>
        <v/>
      </c>
      <c r="AC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1" s="25" t="str">
        <f aca="false">IF(Tasks[[#This Row],[Task Name]]="","",IF(Tasks[[#This Row],[_IsSummary]],MIN(INDEX(Tasks[_LeafLateStart],Tasks[[#This Row],[_Row]]+1):INDEX(Tasks[_LeafLateStart],Tasks[[#This Row],[_Row]]+Tasks[[#This Row],[_Descendants]])),Tasks[[#This Row],[_LeafLateStart]]))</f>
        <v/>
      </c>
      <c r="AF161" s="25" t="str">
        <f aca="false">IF(Tasks[[#This Row],[Task Name]]="","",IF(Tasks[[#This Row],[_IsSummary]],MAX(INDEX(Tasks[_LeafLateFinish],Tasks[[#This Row],[_Row]]+1):INDEX(Tasks[_LeafLateFinish],Tasks[[#This Row],[_Row]]+Tasks[[#This Row],[_Descendants]])),Tasks[[#This Row],[_LeafLateFinish]]))</f>
        <v/>
      </c>
      <c r="AG161" s="28" t="str">
        <f aca="false">IF(Tasks[[#This Row],[Task Name]]="","",IF(Tasks[[#This Row],[_IsSummary]],MIN(INDEX(Tasks[_LeafTotalSlack],Tasks[[#This Row],[_Row]]+1):INDEX(Tasks[_LeafTotalSlack],Tasks[[#This Row],[_Row]]+Tasks[[#This Row],[_Descendants]])),Tasks[[#This Row],[_LeafTotalSlack]]))</f>
        <v/>
      </c>
      <c r="AH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1" s="28" t="str">
        <f aca="false">IF(Tasks[[#This Row],[Task Name]]="","",IF(IF(Tasks[[#This Row],[_IsSummary]],COUNTIF(INDEX(Tasks[_LeafCritical],Tasks[[#This Row],[_Row]]+1):INDEX(Tasks[_LeafCritical],Tasks[[#This Row],[_Row]]+Tasks[[#This Row],[_Descendants]]),TRUE())&gt;0,Tasks[[#This Row],[_LeafCritical]]),"Yes",""))</f>
        <v/>
      </c>
      <c r="AJ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1" s="89"/>
      <c r="AM1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1" s="28" t="str">
        <f aca="false">IF(Tasks[[#This Row],[Task Name]]="","",IF(Tasks[[#This Row],[Progress]]&gt;=1,"Complete",IF(OR(N(Tasks[[#This Row],[Actual Start]])&gt;0,Tasks[[#This Row],[Progress]]&gt;0),IF(Tasks[[#This Row],[Finish Var]]&gt;0,"Behind","In Progress"),IF(Tasks[[#This Row],[Planned Start]]&lt;StatusDate,"Late Start","Not Started"))))</f>
        <v/>
      </c>
      <c r="AO161" s="30"/>
      <c r="AP161" s="89"/>
      <c r="AQ1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1" s="96" t="str">
        <f aca="false">IF(Tasks[[#This Row],[Task Name]]="","",IF(Tasks[[#This Row],[_IsSummary]],SUM(INDEX(Tasks[_LeafTotalWork],Tasks[[#This Row],[_Row]]+1):INDEX(Tasks[_LeafTotalWork],Tasks[[#This Row],[_Row]]+Tasks[[#This Row],[_Descendants]])),Tasks[[#This Row],[_LeafTotalWork]]))</f>
        <v/>
      </c>
      <c r="AT161" s="97" t="str">
        <f aca="false">IF(Tasks[[#This Row],[Task Name]]="","",IF(Tasks[[#This Row],[_IsSummary]],SUM(INDEX(Tasks[_LeafTotalCost],Tasks[[#This Row],[_Row]]+1):INDEX(Tasks[_LeafTotalCost],Tasks[[#This Row],[_Row]]+Tasks[[#This Row],[_Descendants]])),Tasks[[#This Row],[_LeafTotalCost]]))</f>
        <v/>
      </c>
      <c r="AU161" s="98"/>
      <c r="AV161" s="29"/>
      <c r="AW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1" s="83"/>
      <c r="AY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1" s="30"/>
      <c r="BA161" s="25" t="str">
        <f aca="false">IF(Tasks[[#This Row],[Task Name]]="","",Tasks[[#This Row],[Forecast Start]])</f>
        <v/>
      </c>
      <c r="BB161" s="25" t="str">
        <f aca="false">IF(Tasks[[#This Row],[Task Name]]="","",Tasks[[#This Row],[Forecast Finish]])</f>
        <v/>
      </c>
      <c r="BC161" s="28" t="str">
        <f aca="false">IF(Tasks[[#This Row],[Task Name]]="","",IF(Tasks[[#This Row],[_IsSummary]],NETWORKDAYS.INTL(Tasks[[#This Row],[Forecast Start]],Tasks[[#This Row],[Forecast Finish]],WorkWeek,Holidays),N(Tasks[[#This Row],[Duration]])))</f>
        <v/>
      </c>
      <c r="BD161" s="96" t="str">
        <f aca="false">IF(Tasks[[#This Row],[Task Name]]="","",Tasks[[#This Row],[Work]])</f>
        <v/>
      </c>
      <c r="BE161" s="97" t="str">
        <f aca="false">IF(Tasks[[#This Row],[Task Name]]="","",Tasks[[#This Row],[Cost]])</f>
        <v/>
      </c>
      <c r="BF161" s="75"/>
      <c r="BG161" s="75"/>
      <c r="BH161" s="29"/>
      <c r="BI161" s="99"/>
      <c r="BJ161" s="98"/>
      <c r="BK161" s="28" t="str">
        <f aca="false">IF(OR(Tasks[[#This Row],[Task Name]]="",Tasks[[#This Row],[Baseline Duration]]=""),"",Tasks[[#This Row],[BL Source Duration]]-N(Tasks[[#This Row],[Baseline Duration]]))</f>
        <v/>
      </c>
      <c r="BL161" s="96" t="str">
        <f aca="false">IF(OR(Tasks[[#This Row],[Task Name]]="",Tasks[[#This Row],[Baseline Work]]=""),"",Tasks[[#This Row],[Work]]-N(Tasks[[#This Row],[Baseline Work]]))</f>
        <v/>
      </c>
      <c r="BM161" s="97" t="str">
        <f aca="false">IF(OR(Tasks[[#This Row],[Task Name]]="",Tasks[[#This Row],[Baseline Cost]]=""),"",Tasks[[#This Row],[Cost]]-N(Tasks[[#This Row],[Baseline Cost]]))</f>
        <v/>
      </c>
      <c r="BN161" s="97" t="str">
        <f aca="false">IF(Tasks[[#This Row],[Task Name]]="","",IF(Tasks[[#This Row],[_IsSummary]],SUM(INDEX(Tasks[_LeafBudget],Tasks[[#This Row],[_Row]]+1):INDEX(Tasks[_LeafBudget],Tasks[[#This Row],[_Row]]+Tasks[[#This Row],[_Descendants]])),Tasks[[#This Row],[_LeafBudget]]))</f>
        <v/>
      </c>
      <c r="BO161" s="97" t="str">
        <f aca="false">IF(Tasks[[#This Row],[Task Name]]="","",IF(Tasks[[#This Row],[_IsSummary]],SUM(INDEX(Tasks[_LeafPV],Tasks[[#This Row],[_Row]]+1):INDEX(Tasks[_LeafPV],Tasks[[#This Row],[_Row]]+Tasks[[#This Row],[_Descendants]])),Tasks[[#This Row],[_LeafPV]]))</f>
        <v/>
      </c>
      <c r="BP161" s="97" t="str">
        <f aca="false">IF(Tasks[[#This Row],[Task Name]]="","",IF(Tasks[[#This Row],[_IsSummary]],SUM(INDEX(Tasks[_LeafEV],Tasks[[#This Row],[_Row]]+1):INDEX(Tasks[_LeafEV],Tasks[[#This Row],[_Row]]+Tasks[[#This Row],[_Descendants]])),Tasks[[#This Row],[_LeafEV]]))</f>
        <v/>
      </c>
      <c r="BQ161" s="97" t="str">
        <f aca="false">IF(Tasks[[#This Row],[Task Name]]="","",IF(Tasks[[#This Row],[_IsSummary]],SUM(INDEX(Tasks[_LeafAC],Tasks[[#This Row],[_Row]]+1):INDEX(Tasks[_LeafAC],Tasks[[#This Row],[_Row]]+Tasks[[#This Row],[_Descendants]])),Tasks[[#This Row],[_LeafAC]]))</f>
        <v/>
      </c>
      <c r="BR161" s="41" t="str">
        <f aca="false">IF(Tasks[[#This Row],[Task Name]]="","",MAX(1,N(Tasks[[#This Row],[Level]])))</f>
        <v/>
      </c>
      <c r="BS161" s="41" t="n">
        <f aca="false">ROW()-ROW(Tasks[[#Headers],[ID]])</f>
        <v>156</v>
      </c>
      <c r="BT161" s="41" t="n">
        <f aca="false">IF(OR(Tasks[[#This Row],[Task Name]]="",Tasks[[#This Row],[_Level]]&lt;=1),0,IFERROR(LOOKUP(2,1/(Tasks[[#Headers],[_Level]]:Tasks[[#This Row],[_Level]]=Tasks[[#This Row],[_Level]]-1),ROW(Tasks[[#Headers],[_Level]]:Tasks[[#This Row],[_Level]])),0))</f>
        <v>0</v>
      </c>
      <c r="BU161" s="41" t="n">
        <f aca="false">IFERROR(N(INDEX(Tasks[_Level],Tasks[[#This Row],[_Row]]+1)),0)</f>
        <v>0</v>
      </c>
      <c r="BV161" s="100" t="b">
        <f aca="false">AND(Tasks[[#This Row],[Task Name]]&lt;&gt;"",Tasks[[#This Row],[_NextLevel]]&gt;Tasks[[#This Row],[_Level]])</f>
        <v>0</v>
      </c>
      <c r="BW161" s="41" t="n">
        <f aca="false">IF(Tasks[[#This Row],[_IsSummary]],COUNTIF(Tasks[WBS],Tasks[[#This Row],[WBS]]&amp;".*"),0)</f>
        <v>0</v>
      </c>
      <c r="BX161" s="41" t="n">
        <f aca="false">IF(AND(Tasks[[#This Row],[Task Name]]&lt;&gt;"",NOT(Tasks[[#This Row],[_IsSummary]])),1,0)</f>
        <v>0</v>
      </c>
      <c r="BY161" s="41" t="n">
        <f aca="false">IF(N(Tasks[[#This Row],[Pred1 UID]])=0,0,IFERROR(MATCH(Tasks[[#This Row],[Pred1 UID]],Tasks[UID],0),-1))</f>
        <v>0</v>
      </c>
      <c r="BZ161" s="41" t="n">
        <f aca="false">IF(N(Tasks[[#This Row],[Pred2 UID]])=0,0,IFERROR(MATCH(Tasks[[#This Row],[Pred2 UID]],Tasks[UID],0),-1))</f>
        <v>0</v>
      </c>
      <c r="CA161" s="41" t="n">
        <f aca="false">IF(N(Tasks[[#This Row],[Pred3 UID]])=0,0,IFERROR(MATCH(Tasks[[#This Row],[Pred3 UID]],Tasks[UID],0),-1))</f>
        <v>0</v>
      </c>
      <c r="CB161" s="41" t="n">
        <f aca="false">IF(N(Tasks[[#This Row],[Pred4 UID]])=0,0,IFERROR(MATCH(Tasks[[#This Row],[Pred4 UID]],Tasks[UID],0),-1))</f>
        <v>0</v>
      </c>
      <c r="CC1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1" s="101" t="n">
        <f aca="false">IF(OR(Tasks[[#This Row],[_ConstraintCode]]=2,Tasks[[#This Row],[_ConstraintCode]]=3,Tasks[[#This Row],[_ConstraintCode]]=4,Tasks[[#This Row],[_ConstraintCode]]=6),Tasks[[#This Row],[_ConstraintStart]],0)</f>
        <v>0</v>
      </c>
      <c r="CF161" s="101" t="n">
        <f aca="false">IF(OR(Tasks[[#This Row],[_ConstraintCode]]=2,Tasks[[#This Row],[_ConstraintCode]]=3,Tasks[[#This Row],[_ConstraintCode]]=5,Tasks[[#This Row],[_ConstraintCode]]=7),Tasks[[#This Row],[_ConstraintStart]],2958465)</f>
        <v>2958465</v>
      </c>
      <c r="CG16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1" s="101" t="str">
        <f aca="false">IF(NOT(Tasks[[#This Row],[_IsLeaf]]=1),"",IF(N(Tasks[[#This Row],[Duration]])&lt;=0,Tasks[[#This Row],[_LeafCalcStart]],WORKDAY.INTL(Tasks[[#This Row],[_LeafCalcStart]],Tasks[[#This Row],[Duration]]-1,WorkWeek,Holidays)))</f>
        <v/>
      </c>
      <c r="CI16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1" s="41" t="n">
        <f aca="false">IF(NOT(Tasks[[#This Row],[_IsLeaf]]=1),0,IF(N(Tasks[[#This Row],[Actual Finish]])&gt;0,1,MIN(1,N(Tasks[[#This Row],[% Complete]]))))</f>
        <v>0</v>
      </c>
      <c r="CL161" s="41" t="n">
        <f aca="false">IF(OR(NOT(Tasks[[#This Row],[_IsLeaf]]=1),Tasks[[#This Row],[Resource]]=""),0,N(Tasks[[#This Row],[Duration]])*HoursPerDay*IF(Tasks[[#This Row],[Units]]="",DefaultUnits,Tasks[[#This Row],[Units]]))</f>
        <v>0</v>
      </c>
      <c r="CM161" s="41" t="n">
        <f aca="false">IF(Tasks[[#This Row],[_LeafWork]]=0,0,Tasks[[#This Row],[_LeafWork]]*IFERROR(INDEX(res_Rate,MATCH(Tasks[[#This Row],[Resource]],res_Name,0)),0))</f>
        <v>0</v>
      </c>
      <c r="CN161" s="41" t="n">
        <f aca="false">Tasks[[#This Row],[_LeafWork]]+IF(Tasks[[#This Row],[_IsLeaf]]=1,SUMIFS(asg_Work,asg_TaskUID,Tasks[[#This Row],[UID]],asg_Valid,1),0)</f>
        <v>0</v>
      </c>
      <c r="CO161" s="41" t="n">
        <f aca="false">Tasks[[#This Row],[_LeafCost]]+IF(Tasks[[#This Row],[_IsLeaf]]=1,SUMIFS(asg_Cost,asg_TaskUID,Tasks[[#This Row],[UID]],asg_Valid,1),0)</f>
        <v>0</v>
      </c>
      <c r="CP161" s="41" t="n">
        <f aca="false">IF(Tasks[[#This Row],[_LeafTotalCost]]=0,Tasks[[#This Row],[_LeafAC]],Tasks[[#This Row],[_LeafAC]]*Tasks[[#This Row],[_LeafCost]]/Tasks[[#This Row],[_LeafTotalCost]])</f>
        <v>0</v>
      </c>
      <c r="CQ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1" s="41" t="n">
        <f aca="false">IF(NOT(Tasks[[#This Row],[_IsLeaf]]=1),0,MAX(_xlfn.MAXIFS(Tasks[_Row],Tasks[Pred1 UID],Tasks[[#This Row],[UID]]),_xlfn.MAXIFS(Tasks[_Row],Tasks[Pred2 UID],Tasks[[#This Row],[UID]]),_xlfn.MAXIFS(Tasks[_Row],Tasks[Pred3 UID],Tasks[[#This Row],[UID]]),_xlfn.MAXIFS(Tasks[_Row],Tasks[Pred4 UID],Tasks[[#This Row],[UID]])))</f>
        <v>0</v>
      </c>
      <c r="CZ1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1" s="101" t="str">
        <f aca="false">IF(NOT(Tasks[[#This Row],[_IsLeaf]]=1),"",IF(N(Tasks[[#This Row],[Duration]])&lt;=0,Tasks[[#This Row],[_LeafLateFinish]],WORKDAY.INTL(Tasks[[#This Row],[_LeafLateFinish]],-(Tasks[[#This Row],[Duration]]-1),WorkWeek,Holidays)))</f>
        <v/>
      </c>
      <c r="DC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1" s="100" t="b">
        <f aca="false">AND(Tasks[[#This Row],[_IsLeaf]]=1,Tasks[[#This Row],[_LeafProgress]]&lt;1,N(Tasks[[#This Row],[_LeafTotalSlack]])&lt;=CriticalSlackDays)</f>
        <v>0</v>
      </c>
      <c r="DE161" s="41" t="n">
        <f aca="false">IF(AND(Tasks[[#This Row],[_IsLeaf]]=1,Tasks[[#This Row],[_ConstraintCode]]=1,Tasks[[#This Row],[Mode]]&lt;&gt;"Manual",N(Tasks[[#This Row],[Actual Start]])=0),MAX(0,N(Tasks[[#This Row],[Free Slack]])),0)</f>
        <v>0</v>
      </c>
      <c r="DF161" s="101" t="str">
        <f aca="false">IF(NOT(Tasks[[#This Row],[_IsLeaf]]=1),"",IF(Tasks[[#This Row],[_AlapShift]]=0,Tasks[[#This Row],[_LeafCalcStart]],WORKDAY.INTL(Tasks[[#This Row],[_LeafCalcStart]],Tasks[[#This Row],[_AlapShift]],WorkWeek,Holidays)))</f>
        <v/>
      </c>
      <c r="DG161" s="101" t="str">
        <f aca="false">IF(NOT(Tasks[[#This Row],[_IsLeaf]]=1),"",IF(Tasks[[#This Row],[_AlapShift]]=0,Tasks[[#This Row],[_LeafCalcFinish]],WORKDAY.INTL(Tasks[[#This Row],[_LeafCalcFinish]],Tasks[[#This Row],[_AlapShift]],WorkWeek,Holidays)))</f>
        <v/>
      </c>
      <c r="DH161" s="101" t="str">
        <f aca="false">IF(NOT(Tasks[[#This Row],[_IsLeaf]]=1),"",IF(Tasks[[#This Row],[_AlapShift]]=0,Tasks[[#This Row],[_LeafFcstStart]],WORKDAY.INTL(Tasks[[#This Row],[_LeafFcstStart]],Tasks[[#This Row],[_AlapShift]],WorkWeek,Holidays)))</f>
        <v/>
      </c>
      <c r="DI161" s="101" t="str">
        <f aca="false">IF(NOT(Tasks[[#This Row],[_IsLeaf]]=1),"",IF(Tasks[[#This Row],[_AlapShift]]=0,Tasks[[#This Row],[_LeafFcstFinish]],WORKDAY.INTL(Tasks[[#This Row],[_LeafFcstFinish]],Tasks[[#This Row],[_AlapShift]],WorkWeek,Holidays)))</f>
        <v/>
      </c>
      <c r="DJ161" s="101" t="str">
        <f aca="false">IF(Tasks[[#This Row],[Task Name]]="","",IF(Tasks[[#This Row],[_IsSummary]],MIN(INDEX(Tasks[_ShownCalcStart],Tasks[[#This Row],[_Row]]+1):INDEX(Tasks[_ShownCalcStart],Tasks[[#This Row],[_Row]]+Tasks[[#This Row],[_Descendants]])),Tasks[[#This Row],[_ShownCalcStart]]))</f>
        <v/>
      </c>
      <c r="DK161" s="101" t="str">
        <f aca="false">IF(Tasks[[#This Row],[Task Name]]="","",IF(Tasks[[#This Row],[_IsSummary]],MAX(INDEX(Tasks[_ShownCalcFinish],Tasks[[#This Row],[_Row]]+1):INDEX(Tasks[_ShownCalcFinish],Tasks[[#This Row],[_Row]]+Tasks[[#This Row],[_Descendants]])),Tasks[[#This Row],[_ShownCalcFinish]]))</f>
        <v/>
      </c>
      <c r="D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1" s="41" t="n">
        <f aca="false">IF(AND(Tasks[[#This Row],[_IsLeaf]]=1,Tasks[[#This Row],[_LeafTotalWork]]&gt;0),NETWORKDAYS.INTL(ProjectStart,Tasks[[#This Row],[_ShownFcstStart]],WorkWeek,Holidays),0)</f>
        <v>0</v>
      </c>
      <c r="DY161" s="41" t="n">
        <f aca="false">IF(AND(Tasks[[#This Row],[_IsLeaf]]=1,Tasks[[#This Row],[_LeafTotalWork]]&gt;0),MAX(Tasks[[#This Row],[_StartWorkday]],NETWORKDAYS.INTL(ProjectStart,Tasks[[#This Row],[_ShownFcstFinish]],WorkWeek,Holidays)),0)</f>
        <v>0</v>
      </c>
      <c r="DZ161" s="41" t="n">
        <f aca="false">IF(AND(Tasks[[#This Row],[_IsLeaf]]=1,Tasks[[#This Row],[_LeafTotalWork]]&gt;0),Tasks[[#This Row],[_LeafWork]]/(Tasks[[#This Row],[_FinishWorkday]]-Tasks[[#This Row],[_StartWorkday]]+1),0)</f>
        <v>0</v>
      </c>
      <c r="EA161" s="41" t="n">
        <f aca="false">Tasks[[#This Row],[_WorkPerWorkday]]*(Tasks[[#This Row],[_StartWorkday]]-1)</f>
        <v>-0</v>
      </c>
      <c r="EB161" s="41" t="n">
        <f aca="false">IF(Tasks[[#This Row],[_IsLeaf]]=1,MAX(N(Tasks[[#This Row],[Duration]]),0.1),0)</f>
        <v>0</v>
      </c>
      <c r="EC161" s="41" t="n">
        <f aca="false">Tasks[[#This Row],[_WeightDur]]*Tasks[[#This Row],[_LeafProgress]]</f>
        <v>0</v>
      </c>
      <c r="ED1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1" s="41" t="str">
        <f aca="false">IF(AND(Tasks[[#This Row],[_IsLeaf]]=1,N(Tasks[[#This Row],[Duration]])=0,Tasks[[#This Row],[_LeafProgress]]&lt;1),Tasks[[#This Row],[_ShownFcstFinish]]+Tasks[[#This Row],[_Row]]/100000,"")</f>
        <v/>
      </c>
      <c r="EF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1" s="41" t="n">
        <f aca="false">IF(NOT(Tasks[[#This Row],[_IsLeaf]]=1),0,IF(Tasks[[#This Row],[Baseline Cost]]="",Tasks[[#This Row],[_LeafTotalCost]],N(Tasks[[#This Row],[Baseline Cost]])))</f>
        <v>0</v>
      </c>
      <c r="EH161" s="41" t="n">
        <f aca="false">Tasks[[#This Row],[_LeafBudget]]*Tasks[[#This Row],[_PlannedPct]]</f>
        <v>0</v>
      </c>
      <c r="EI161" s="41" t="n">
        <f aca="false">Tasks[[#This Row],[_LeafBudget]]*Tasks[[#This Row],[_LeafProgress]]</f>
        <v>0</v>
      </c>
      <c r="EJ161" s="41" t="n">
        <f aca="false">IF(NOT(Tasks[[#This Row],[_IsLeaf]]=1),0,IF(Tasks[[#This Row],[Actual Cost]]="",Tasks[[#This Row],[_LeafTotalCost]]*Tasks[[#This Row],[_LeafProgress]],N(Tasks[[#This Row],[Actual Cost]])))</f>
        <v>0</v>
      </c>
      <c r="EK161" s="41" t="str">
        <f aca="false">IF(Tasks[[#This Row],[Task Name]]="","",LEFT(Tasks[[#This Row],[WBS]],FIND(".",Tasks[[#This Row],[WBS]]&amp;".")-1))</f>
        <v/>
      </c>
      <c r="EL161" s="41" t="str">
        <f aca="false">IF(AND(Tasks[[#This Row],[Task Name]]&lt;&gt;"",Tasks[[#This Row],[_Level]]=1),Tasks[[#This Row],[_Row]],"")</f>
        <v/>
      </c>
      <c r="EM161" s="41" t="str">
        <f aca="false">IF(AND(Tasks[[#This Row],[_IsLeaf]]=1,N(Tasks[[#This Row],[Duration]])=0),Tasks[[#This Row],[Planned Finish]]+Tasks[[#This Row],[_Row]]/100000,"")</f>
        <v/>
      </c>
      <c r="EN161" s="41" t="str">
        <f aca="false">IF(AND(Tasks[[#This Row],[_IsLeaf]]=1,Tasks[[#This Row],[_LeafProgress]]&lt;1,OR(N(Tasks[[#This Row],[Finish Var]])&gt;0,Tasks[[#This Row],[Status]]="Late Start")),MAX(0,Tasks[[#This Row],[Finish Var]])+1-Tasks[[#This Row],[_Row]]/1000000,"")</f>
        <v/>
      </c>
      <c r="EO161" s="41" t="str">
        <f aca="false">IF(AND(Tasks[[#This Row],[_IsLeaf]]=1,N(Tasks[[#This Row],[Actual Start]])=0,Tasks[[#This Row],[_ShownFcstStart]]&gt;=StatusDate,Tasks[[#This Row],[_ShownFcstStart]]&lt;=LookaheadEnd),Tasks[[#This Row],[_ShownFcstStart]]+Tasks[[#This Row],[_Row]]/100000,"")</f>
        <v/>
      </c>
      <c r="EP161" s="41" t="str">
        <f aca="false">IF(AND(Tasks[[#This Row],[_IsLeaf]]=1,Tasks[[#This Row],[_LeafProgress]]&lt;1,Tasks[[#This Row],[_ShownFcstFinish]]&gt;=StatusDate,Tasks[[#This Row],[_ShownFcstFinish]]&lt;=LookaheadEnd),Tasks[[#This Row],[_ShownFcstFinish]]+Tasks[[#This Row],[_Row]]/100000,"")</f>
        <v/>
      </c>
      <c r="EQ161" s="41" t="str">
        <f aca="false">IF(Tasks[[#This Row],[_LeafCritical]],Tasks[[#This Row],[_ShownFcstStart]]+Tasks[[#This Row],[_Row]]/100000,"")</f>
        <v/>
      </c>
      <c r="ER161" s="41" t="n">
        <f aca="false">Tasks[[#This Row],[_LeafWork]]*Tasks[[#This Row],[_LeafProgress]]</f>
        <v>0</v>
      </c>
      <c r="ES161" s="101" t="str">
        <f aca="false">IF(AND(Tasks[[#This Row],[_IsLeaf]]=1,Tasks[[#This Row],[_LeafProgress]]&gt;=1),IF(N(Tasks[[#This Row],[Actual Finish]])&gt;0,Tasks[[#This Row],[Actual Finish]],Tasks[[#This Row],[_ShownFcstFinish]]),"")</f>
        <v/>
      </c>
      <c r="ET161" s="41" t="n">
        <f aca="false">IF(Tasks[[#This Row],[_IsLeaf]]=1,N(Tasks[[#This Row],[Story Points]]),0)</f>
        <v>0</v>
      </c>
      <c r="EU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29"/>
      <c r="O162" s="29"/>
      <c r="P162" s="29"/>
      <c r="Q162" s="29"/>
      <c r="R162" s="29"/>
      <c r="S162" s="29"/>
      <c r="T162" s="30"/>
      <c r="U162" s="75"/>
      <c r="V162" s="75"/>
      <c r="W162" s="25" t="str">
        <f aca="false">IF(Tasks[[#This Row],[Task Name]]="","",IF(N(Tasks[[#This Row],[Baseline Start]])&gt;0,Tasks[[#This Row],[Baseline Start]],Tasks[[#This Row],[_CalcStart]]))</f>
        <v/>
      </c>
      <c r="X162" s="25" t="str">
        <f aca="false">IF(Tasks[[#This Row],[Task Name]]="","",IF(N(Tasks[[#This Row],[Baseline Finish]])&gt;0,Tasks[[#This Row],[Baseline Finish]],Tasks[[#This Row],[_CalcFinish]]))</f>
        <v/>
      </c>
      <c r="Y162" s="75"/>
      <c r="Z162" s="75"/>
      <c r="AA162" s="25" t="str">
        <f aca="false">IF(Tasks[[#This Row],[Task Name]]="","",IF(Tasks[[#This Row],[_IsSummary]],MIN(INDEX(Tasks[_ShownFcstStart],Tasks[[#This Row],[_Row]]+1):INDEX(Tasks[_ShownFcstStart],Tasks[[#This Row],[_Row]]+Tasks[[#This Row],[_Descendants]])),Tasks[[#This Row],[_ShownFcstStart]]))</f>
        <v/>
      </c>
      <c r="AB162" s="25" t="str">
        <f aca="false">IF(Tasks[[#This Row],[Task Name]]="","",IF(Tasks[[#This Row],[_IsSummary]],MAX(INDEX(Tasks[_ShownFcstFinish],Tasks[[#This Row],[_Row]]+1):INDEX(Tasks[_ShownFcstFinish],Tasks[[#This Row],[_Row]]+Tasks[[#This Row],[_Descendants]])),Tasks[[#This Row],[_ShownFcstFinish]]))</f>
        <v/>
      </c>
      <c r="AC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2" s="25" t="str">
        <f aca="false">IF(Tasks[[#This Row],[Task Name]]="","",IF(Tasks[[#This Row],[_IsSummary]],MIN(INDEX(Tasks[_LeafLateStart],Tasks[[#This Row],[_Row]]+1):INDEX(Tasks[_LeafLateStart],Tasks[[#This Row],[_Row]]+Tasks[[#This Row],[_Descendants]])),Tasks[[#This Row],[_LeafLateStart]]))</f>
        <v/>
      </c>
      <c r="AF162" s="25" t="str">
        <f aca="false">IF(Tasks[[#This Row],[Task Name]]="","",IF(Tasks[[#This Row],[_IsSummary]],MAX(INDEX(Tasks[_LeafLateFinish],Tasks[[#This Row],[_Row]]+1):INDEX(Tasks[_LeafLateFinish],Tasks[[#This Row],[_Row]]+Tasks[[#This Row],[_Descendants]])),Tasks[[#This Row],[_LeafLateFinish]]))</f>
        <v/>
      </c>
      <c r="AG162" s="28" t="str">
        <f aca="false">IF(Tasks[[#This Row],[Task Name]]="","",IF(Tasks[[#This Row],[_IsSummary]],MIN(INDEX(Tasks[_LeafTotalSlack],Tasks[[#This Row],[_Row]]+1):INDEX(Tasks[_LeafTotalSlack],Tasks[[#This Row],[_Row]]+Tasks[[#This Row],[_Descendants]])),Tasks[[#This Row],[_LeafTotalSlack]]))</f>
        <v/>
      </c>
      <c r="AH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2" s="28" t="str">
        <f aca="false">IF(Tasks[[#This Row],[Task Name]]="","",IF(IF(Tasks[[#This Row],[_IsSummary]],COUNTIF(INDEX(Tasks[_LeafCritical],Tasks[[#This Row],[_Row]]+1):INDEX(Tasks[_LeafCritical],Tasks[[#This Row],[_Row]]+Tasks[[#This Row],[_Descendants]]),TRUE())&gt;0,Tasks[[#This Row],[_LeafCritical]]),"Yes",""))</f>
        <v/>
      </c>
      <c r="AJ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2" s="89"/>
      <c r="AM1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2" s="28" t="str">
        <f aca="false">IF(Tasks[[#This Row],[Task Name]]="","",IF(Tasks[[#This Row],[Progress]]&gt;=1,"Complete",IF(OR(N(Tasks[[#This Row],[Actual Start]])&gt;0,Tasks[[#This Row],[Progress]]&gt;0),IF(Tasks[[#This Row],[Finish Var]]&gt;0,"Behind","In Progress"),IF(Tasks[[#This Row],[Planned Start]]&lt;StatusDate,"Late Start","Not Started"))))</f>
        <v/>
      </c>
      <c r="AO162" s="30"/>
      <c r="AP162" s="89"/>
      <c r="AQ1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2" s="96" t="str">
        <f aca="false">IF(Tasks[[#This Row],[Task Name]]="","",IF(Tasks[[#This Row],[_IsSummary]],SUM(INDEX(Tasks[_LeafTotalWork],Tasks[[#This Row],[_Row]]+1):INDEX(Tasks[_LeafTotalWork],Tasks[[#This Row],[_Row]]+Tasks[[#This Row],[_Descendants]])),Tasks[[#This Row],[_LeafTotalWork]]))</f>
        <v/>
      </c>
      <c r="AT162" s="97" t="str">
        <f aca="false">IF(Tasks[[#This Row],[Task Name]]="","",IF(Tasks[[#This Row],[_IsSummary]],SUM(INDEX(Tasks[_LeafTotalCost],Tasks[[#This Row],[_Row]]+1):INDEX(Tasks[_LeafTotalCost],Tasks[[#This Row],[_Row]]+Tasks[[#This Row],[_Descendants]])),Tasks[[#This Row],[_LeafTotalCost]]))</f>
        <v/>
      </c>
      <c r="AU162" s="98"/>
      <c r="AV162" s="29"/>
      <c r="AW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2" s="83"/>
      <c r="AY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2" s="30"/>
      <c r="BA162" s="25" t="str">
        <f aca="false">IF(Tasks[[#This Row],[Task Name]]="","",Tasks[[#This Row],[Forecast Start]])</f>
        <v/>
      </c>
      <c r="BB162" s="25" t="str">
        <f aca="false">IF(Tasks[[#This Row],[Task Name]]="","",Tasks[[#This Row],[Forecast Finish]])</f>
        <v/>
      </c>
      <c r="BC162" s="28" t="str">
        <f aca="false">IF(Tasks[[#This Row],[Task Name]]="","",IF(Tasks[[#This Row],[_IsSummary]],NETWORKDAYS.INTL(Tasks[[#This Row],[Forecast Start]],Tasks[[#This Row],[Forecast Finish]],WorkWeek,Holidays),N(Tasks[[#This Row],[Duration]])))</f>
        <v/>
      </c>
      <c r="BD162" s="96" t="str">
        <f aca="false">IF(Tasks[[#This Row],[Task Name]]="","",Tasks[[#This Row],[Work]])</f>
        <v/>
      </c>
      <c r="BE162" s="97" t="str">
        <f aca="false">IF(Tasks[[#This Row],[Task Name]]="","",Tasks[[#This Row],[Cost]])</f>
        <v/>
      </c>
      <c r="BF162" s="75"/>
      <c r="BG162" s="75"/>
      <c r="BH162" s="29"/>
      <c r="BI162" s="99"/>
      <c r="BJ162" s="98"/>
      <c r="BK162" s="28" t="str">
        <f aca="false">IF(OR(Tasks[[#This Row],[Task Name]]="",Tasks[[#This Row],[Baseline Duration]]=""),"",Tasks[[#This Row],[BL Source Duration]]-N(Tasks[[#This Row],[Baseline Duration]]))</f>
        <v/>
      </c>
      <c r="BL162" s="96" t="str">
        <f aca="false">IF(OR(Tasks[[#This Row],[Task Name]]="",Tasks[[#This Row],[Baseline Work]]=""),"",Tasks[[#This Row],[Work]]-N(Tasks[[#This Row],[Baseline Work]]))</f>
        <v/>
      </c>
      <c r="BM162" s="97" t="str">
        <f aca="false">IF(OR(Tasks[[#This Row],[Task Name]]="",Tasks[[#This Row],[Baseline Cost]]=""),"",Tasks[[#This Row],[Cost]]-N(Tasks[[#This Row],[Baseline Cost]]))</f>
        <v/>
      </c>
      <c r="BN162" s="97" t="str">
        <f aca="false">IF(Tasks[[#This Row],[Task Name]]="","",IF(Tasks[[#This Row],[_IsSummary]],SUM(INDEX(Tasks[_LeafBudget],Tasks[[#This Row],[_Row]]+1):INDEX(Tasks[_LeafBudget],Tasks[[#This Row],[_Row]]+Tasks[[#This Row],[_Descendants]])),Tasks[[#This Row],[_LeafBudget]]))</f>
        <v/>
      </c>
      <c r="BO162" s="97" t="str">
        <f aca="false">IF(Tasks[[#This Row],[Task Name]]="","",IF(Tasks[[#This Row],[_IsSummary]],SUM(INDEX(Tasks[_LeafPV],Tasks[[#This Row],[_Row]]+1):INDEX(Tasks[_LeafPV],Tasks[[#This Row],[_Row]]+Tasks[[#This Row],[_Descendants]])),Tasks[[#This Row],[_LeafPV]]))</f>
        <v/>
      </c>
      <c r="BP162" s="97" t="str">
        <f aca="false">IF(Tasks[[#This Row],[Task Name]]="","",IF(Tasks[[#This Row],[_IsSummary]],SUM(INDEX(Tasks[_LeafEV],Tasks[[#This Row],[_Row]]+1):INDEX(Tasks[_LeafEV],Tasks[[#This Row],[_Row]]+Tasks[[#This Row],[_Descendants]])),Tasks[[#This Row],[_LeafEV]]))</f>
        <v/>
      </c>
      <c r="BQ162" s="97" t="str">
        <f aca="false">IF(Tasks[[#This Row],[Task Name]]="","",IF(Tasks[[#This Row],[_IsSummary]],SUM(INDEX(Tasks[_LeafAC],Tasks[[#This Row],[_Row]]+1):INDEX(Tasks[_LeafAC],Tasks[[#This Row],[_Row]]+Tasks[[#This Row],[_Descendants]])),Tasks[[#This Row],[_LeafAC]]))</f>
        <v/>
      </c>
      <c r="BR162" s="41" t="str">
        <f aca="false">IF(Tasks[[#This Row],[Task Name]]="","",MAX(1,N(Tasks[[#This Row],[Level]])))</f>
        <v/>
      </c>
      <c r="BS162" s="41" t="n">
        <f aca="false">ROW()-ROW(Tasks[[#Headers],[ID]])</f>
        <v>157</v>
      </c>
      <c r="BT162" s="41" t="n">
        <f aca="false">IF(OR(Tasks[[#This Row],[Task Name]]="",Tasks[[#This Row],[_Level]]&lt;=1),0,IFERROR(LOOKUP(2,1/(Tasks[[#Headers],[_Level]]:Tasks[[#This Row],[_Level]]=Tasks[[#This Row],[_Level]]-1),ROW(Tasks[[#Headers],[_Level]]:Tasks[[#This Row],[_Level]])),0))</f>
        <v>0</v>
      </c>
      <c r="BU162" s="41" t="n">
        <f aca="false">IFERROR(N(INDEX(Tasks[_Level],Tasks[[#This Row],[_Row]]+1)),0)</f>
        <v>0</v>
      </c>
      <c r="BV162" s="100" t="b">
        <f aca="false">AND(Tasks[[#This Row],[Task Name]]&lt;&gt;"",Tasks[[#This Row],[_NextLevel]]&gt;Tasks[[#This Row],[_Level]])</f>
        <v>0</v>
      </c>
      <c r="BW162" s="41" t="n">
        <f aca="false">IF(Tasks[[#This Row],[_IsSummary]],COUNTIF(Tasks[WBS],Tasks[[#This Row],[WBS]]&amp;".*"),0)</f>
        <v>0</v>
      </c>
      <c r="BX162" s="41" t="n">
        <f aca="false">IF(AND(Tasks[[#This Row],[Task Name]]&lt;&gt;"",NOT(Tasks[[#This Row],[_IsSummary]])),1,0)</f>
        <v>0</v>
      </c>
      <c r="BY162" s="41" t="n">
        <f aca="false">IF(N(Tasks[[#This Row],[Pred1 UID]])=0,0,IFERROR(MATCH(Tasks[[#This Row],[Pred1 UID]],Tasks[UID],0),-1))</f>
        <v>0</v>
      </c>
      <c r="BZ162" s="41" t="n">
        <f aca="false">IF(N(Tasks[[#This Row],[Pred2 UID]])=0,0,IFERROR(MATCH(Tasks[[#This Row],[Pred2 UID]],Tasks[UID],0),-1))</f>
        <v>0</v>
      </c>
      <c r="CA162" s="41" t="n">
        <f aca="false">IF(N(Tasks[[#This Row],[Pred3 UID]])=0,0,IFERROR(MATCH(Tasks[[#This Row],[Pred3 UID]],Tasks[UID],0),-1))</f>
        <v>0</v>
      </c>
      <c r="CB162" s="41" t="n">
        <f aca="false">IF(N(Tasks[[#This Row],[Pred4 UID]])=0,0,IFERROR(MATCH(Tasks[[#This Row],[Pred4 UID]],Tasks[UID],0),-1))</f>
        <v>0</v>
      </c>
      <c r="CC1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2" s="101" t="n">
        <f aca="false">IF(OR(Tasks[[#This Row],[_ConstraintCode]]=2,Tasks[[#This Row],[_ConstraintCode]]=3,Tasks[[#This Row],[_ConstraintCode]]=4,Tasks[[#This Row],[_ConstraintCode]]=6),Tasks[[#This Row],[_ConstraintStart]],0)</f>
        <v>0</v>
      </c>
      <c r="CF162" s="101" t="n">
        <f aca="false">IF(OR(Tasks[[#This Row],[_ConstraintCode]]=2,Tasks[[#This Row],[_ConstraintCode]]=3,Tasks[[#This Row],[_ConstraintCode]]=5,Tasks[[#This Row],[_ConstraintCode]]=7),Tasks[[#This Row],[_ConstraintStart]],2958465)</f>
        <v>2958465</v>
      </c>
      <c r="CG16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2" s="101" t="str">
        <f aca="false">IF(NOT(Tasks[[#This Row],[_IsLeaf]]=1),"",IF(N(Tasks[[#This Row],[Duration]])&lt;=0,Tasks[[#This Row],[_LeafCalcStart]],WORKDAY.INTL(Tasks[[#This Row],[_LeafCalcStart]],Tasks[[#This Row],[Duration]]-1,WorkWeek,Holidays)))</f>
        <v/>
      </c>
      <c r="CI16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2" s="41" t="n">
        <f aca="false">IF(NOT(Tasks[[#This Row],[_IsLeaf]]=1),0,IF(N(Tasks[[#This Row],[Actual Finish]])&gt;0,1,MIN(1,N(Tasks[[#This Row],[% Complete]]))))</f>
        <v>0</v>
      </c>
      <c r="CL162" s="41" t="n">
        <f aca="false">IF(OR(NOT(Tasks[[#This Row],[_IsLeaf]]=1),Tasks[[#This Row],[Resource]]=""),0,N(Tasks[[#This Row],[Duration]])*HoursPerDay*IF(Tasks[[#This Row],[Units]]="",DefaultUnits,Tasks[[#This Row],[Units]]))</f>
        <v>0</v>
      </c>
      <c r="CM162" s="41" t="n">
        <f aca="false">IF(Tasks[[#This Row],[_LeafWork]]=0,0,Tasks[[#This Row],[_LeafWork]]*IFERROR(INDEX(res_Rate,MATCH(Tasks[[#This Row],[Resource]],res_Name,0)),0))</f>
        <v>0</v>
      </c>
      <c r="CN162" s="41" t="n">
        <f aca="false">Tasks[[#This Row],[_LeafWork]]+IF(Tasks[[#This Row],[_IsLeaf]]=1,SUMIFS(asg_Work,asg_TaskUID,Tasks[[#This Row],[UID]],asg_Valid,1),0)</f>
        <v>0</v>
      </c>
      <c r="CO162" s="41" t="n">
        <f aca="false">Tasks[[#This Row],[_LeafCost]]+IF(Tasks[[#This Row],[_IsLeaf]]=1,SUMIFS(asg_Cost,asg_TaskUID,Tasks[[#This Row],[UID]],asg_Valid,1),0)</f>
        <v>0</v>
      </c>
      <c r="CP162" s="41" t="n">
        <f aca="false">IF(Tasks[[#This Row],[_LeafTotalCost]]=0,Tasks[[#This Row],[_LeafAC]],Tasks[[#This Row],[_LeafAC]]*Tasks[[#This Row],[_LeafCost]]/Tasks[[#This Row],[_LeafTotalCost]])</f>
        <v>0</v>
      </c>
      <c r="CQ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2" s="41" t="n">
        <f aca="false">IF(NOT(Tasks[[#This Row],[_IsLeaf]]=1),0,MAX(_xlfn.MAXIFS(Tasks[_Row],Tasks[Pred1 UID],Tasks[[#This Row],[UID]]),_xlfn.MAXIFS(Tasks[_Row],Tasks[Pred2 UID],Tasks[[#This Row],[UID]]),_xlfn.MAXIFS(Tasks[_Row],Tasks[Pred3 UID],Tasks[[#This Row],[UID]]),_xlfn.MAXIFS(Tasks[_Row],Tasks[Pred4 UID],Tasks[[#This Row],[UID]])))</f>
        <v>0</v>
      </c>
      <c r="CZ1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2" s="101" t="str">
        <f aca="false">IF(NOT(Tasks[[#This Row],[_IsLeaf]]=1),"",IF(N(Tasks[[#This Row],[Duration]])&lt;=0,Tasks[[#This Row],[_LeafLateFinish]],WORKDAY.INTL(Tasks[[#This Row],[_LeafLateFinish]],-(Tasks[[#This Row],[Duration]]-1),WorkWeek,Holidays)))</f>
        <v/>
      </c>
      <c r="DC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2" s="100" t="b">
        <f aca="false">AND(Tasks[[#This Row],[_IsLeaf]]=1,Tasks[[#This Row],[_LeafProgress]]&lt;1,N(Tasks[[#This Row],[_LeafTotalSlack]])&lt;=CriticalSlackDays)</f>
        <v>0</v>
      </c>
      <c r="DE162" s="41" t="n">
        <f aca="false">IF(AND(Tasks[[#This Row],[_IsLeaf]]=1,Tasks[[#This Row],[_ConstraintCode]]=1,Tasks[[#This Row],[Mode]]&lt;&gt;"Manual",N(Tasks[[#This Row],[Actual Start]])=0),MAX(0,N(Tasks[[#This Row],[Free Slack]])),0)</f>
        <v>0</v>
      </c>
      <c r="DF162" s="101" t="str">
        <f aca="false">IF(NOT(Tasks[[#This Row],[_IsLeaf]]=1),"",IF(Tasks[[#This Row],[_AlapShift]]=0,Tasks[[#This Row],[_LeafCalcStart]],WORKDAY.INTL(Tasks[[#This Row],[_LeafCalcStart]],Tasks[[#This Row],[_AlapShift]],WorkWeek,Holidays)))</f>
        <v/>
      </c>
      <c r="DG162" s="101" t="str">
        <f aca="false">IF(NOT(Tasks[[#This Row],[_IsLeaf]]=1),"",IF(Tasks[[#This Row],[_AlapShift]]=0,Tasks[[#This Row],[_LeafCalcFinish]],WORKDAY.INTL(Tasks[[#This Row],[_LeafCalcFinish]],Tasks[[#This Row],[_AlapShift]],WorkWeek,Holidays)))</f>
        <v/>
      </c>
      <c r="DH162" s="101" t="str">
        <f aca="false">IF(NOT(Tasks[[#This Row],[_IsLeaf]]=1),"",IF(Tasks[[#This Row],[_AlapShift]]=0,Tasks[[#This Row],[_LeafFcstStart]],WORKDAY.INTL(Tasks[[#This Row],[_LeafFcstStart]],Tasks[[#This Row],[_AlapShift]],WorkWeek,Holidays)))</f>
        <v/>
      </c>
      <c r="DI162" s="101" t="str">
        <f aca="false">IF(NOT(Tasks[[#This Row],[_IsLeaf]]=1),"",IF(Tasks[[#This Row],[_AlapShift]]=0,Tasks[[#This Row],[_LeafFcstFinish]],WORKDAY.INTL(Tasks[[#This Row],[_LeafFcstFinish]],Tasks[[#This Row],[_AlapShift]],WorkWeek,Holidays)))</f>
        <v/>
      </c>
      <c r="DJ162" s="101" t="str">
        <f aca="false">IF(Tasks[[#This Row],[Task Name]]="","",IF(Tasks[[#This Row],[_IsSummary]],MIN(INDEX(Tasks[_ShownCalcStart],Tasks[[#This Row],[_Row]]+1):INDEX(Tasks[_ShownCalcStart],Tasks[[#This Row],[_Row]]+Tasks[[#This Row],[_Descendants]])),Tasks[[#This Row],[_ShownCalcStart]]))</f>
        <v/>
      </c>
      <c r="DK162" s="101" t="str">
        <f aca="false">IF(Tasks[[#This Row],[Task Name]]="","",IF(Tasks[[#This Row],[_IsSummary]],MAX(INDEX(Tasks[_ShownCalcFinish],Tasks[[#This Row],[_Row]]+1):INDEX(Tasks[_ShownCalcFinish],Tasks[[#This Row],[_Row]]+Tasks[[#This Row],[_Descendants]])),Tasks[[#This Row],[_ShownCalcFinish]]))</f>
        <v/>
      </c>
      <c r="D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2" s="41" t="n">
        <f aca="false">IF(AND(Tasks[[#This Row],[_IsLeaf]]=1,Tasks[[#This Row],[_LeafTotalWork]]&gt;0),NETWORKDAYS.INTL(ProjectStart,Tasks[[#This Row],[_ShownFcstStart]],WorkWeek,Holidays),0)</f>
        <v>0</v>
      </c>
      <c r="DY162" s="41" t="n">
        <f aca="false">IF(AND(Tasks[[#This Row],[_IsLeaf]]=1,Tasks[[#This Row],[_LeafTotalWork]]&gt;0),MAX(Tasks[[#This Row],[_StartWorkday]],NETWORKDAYS.INTL(ProjectStart,Tasks[[#This Row],[_ShownFcstFinish]],WorkWeek,Holidays)),0)</f>
        <v>0</v>
      </c>
      <c r="DZ162" s="41" t="n">
        <f aca="false">IF(AND(Tasks[[#This Row],[_IsLeaf]]=1,Tasks[[#This Row],[_LeafTotalWork]]&gt;0),Tasks[[#This Row],[_LeafWork]]/(Tasks[[#This Row],[_FinishWorkday]]-Tasks[[#This Row],[_StartWorkday]]+1),0)</f>
        <v>0</v>
      </c>
      <c r="EA162" s="41" t="n">
        <f aca="false">Tasks[[#This Row],[_WorkPerWorkday]]*(Tasks[[#This Row],[_StartWorkday]]-1)</f>
        <v>-0</v>
      </c>
      <c r="EB162" s="41" t="n">
        <f aca="false">IF(Tasks[[#This Row],[_IsLeaf]]=1,MAX(N(Tasks[[#This Row],[Duration]]),0.1),0)</f>
        <v>0</v>
      </c>
      <c r="EC162" s="41" t="n">
        <f aca="false">Tasks[[#This Row],[_WeightDur]]*Tasks[[#This Row],[_LeafProgress]]</f>
        <v>0</v>
      </c>
      <c r="ED1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2" s="41" t="str">
        <f aca="false">IF(AND(Tasks[[#This Row],[_IsLeaf]]=1,N(Tasks[[#This Row],[Duration]])=0,Tasks[[#This Row],[_LeafProgress]]&lt;1),Tasks[[#This Row],[_ShownFcstFinish]]+Tasks[[#This Row],[_Row]]/100000,"")</f>
        <v/>
      </c>
      <c r="EF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2" s="41" t="n">
        <f aca="false">IF(NOT(Tasks[[#This Row],[_IsLeaf]]=1),0,IF(Tasks[[#This Row],[Baseline Cost]]="",Tasks[[#This Row],[_LeafTotalCost]],N(Tasks[[#This Row],[Baseline Cost]])))</f>
        <v>0</v>
      </c>
      <c r="EH162" s="41" t="n">
        <f aca="false">Tasks[[#This Row],[_LeafBudget]]*Tasks[[#This Row],[_PlannedPct]]</f>
        <v>0</v>
      </c>
      <c r="EI162" s="41" t="n">
        <f aca="false">Tasks[[#This Row],[_LeafBudget]]*Tasks[[#This Row],[_LeafProgress]]</f>
        <v>0</v>
      </c>
      <c r="EJ162" s="41" t="n">
        <f aca="false">IF(NOT(Tasks[[#This Row],[_IsLeaf]]=1),0,IF(Tasks[[#This Row],[Actual Cost]]="",Tasks[[#This Row],[_LeafTotalCost]]*Tasks[[#This Row],[_LeafProgress]],N(Tasks[[#This Row],[Actual Cost]])))</f>
        <v>0</v>
      </c>
      <c r="EK162" s="41" t="str">
        <f aca="false">IF(Tasks[[#This Row],[Task Name]]="","",LEFT(Tasks[[#This Row],[WBS]],FIND(".",Tasks[[#This Row],[WBS]]&amp;".")-1))</f>
        <v/>
      </c>
      <c r="EL162" s="41" t="str">
        <f aca="false">IF(AND(Tasks[[#This Row],[Task Name]]&lt;&gt;"",Tasks[[#This Row],[_Level]]=1),Tasks[[#This Row],[_Row]],"")</f>
        <v/>
      </c>
      <c r="EM162" s="41" t="str">
        <f aca="false">IF(AND(Tasks[[#This Row],[_IsLeaf]]=1,N(Tasks[[#This Row],[Duration]])=0),Tasks[[#This Row],[Planned Finish]]+Tasks[[#This Row],[_Row]]/100000,"")</f>
        <v/>
      </c>
      <c r="EN162" s="41" t="str">
        <f aca="false">IF(AND(Tasks[[#This Row],[_IsLeaf]]=1,Tasks[[#This Row],[_LeafProgress]]&lt;1,OR(N(Tasks[[#This Row],[Finish Var]])&gt;0,Tasks[[#This Row],[Status]]="Late Start")),MAX(0,Tasks[[#This Row],[Finish Var]])+1-Tasks[[#This Row],[_Row]]/1000000,"")</f>
        <v/>
      </c>
      <c r="EO162" s="41" t="str">
        <f aca="false">IF(AND(Tasks[[#This Row],[_IsLeaf]]=1,N(Tasks[[#This Row],[Actual Start]])=0,Tasks[[#This Row],[_ShownFcstStart]]&gt;=StatusDate,Tasks[[#This Row],[_ShownFcstStart]]&lt;=LookaheadEnd),Tasks[[#This Row],[_ShownFcstStart]]+Tasks[[#This Row],[_Row]]/100000,"")</f>
        <v/>
      </c>
      <c r="EP162" s="41" t="str">
        <f aca="false">IF(AND(Tasks[[#This Row],[_IsLeaf]]=1,Tasks[[#This Row],[_LeafProgress]]&lt;1,Tasks[[#This Row],[_ShownFcstFinish]]&gt;=StatusDate,Tasks[[#This Row],[_ShownFcstFinish]]&lt;=LookaheadEnd),Tasks[[#This Row],[_ShownFcstFinish]]+Tasks[[#This Row],[_Row]]/100000,"")</f>
        <v/>
      </c>
      <c r="EQ162" s="41" t="str">
        <f aca="false">IF(Tasks[[#This Row],[_LeafCritical]],Tasks[[#This Row],[_ShownFcstStart]]+Tasks[[#This Row],[_Row]]/100000,"")</f>
        <v/>
      </c>
      <c r="ER162" s="41" t="n">
        <f aca="false">Tasks[[#This Row],[_LeafWork]]*Tasks[[#This Row],[_LeafProgress]]</f>
        <v>0</v>
      </c>
      <c r="ES162" s="101" t="str">
        <f aca="false">IF(AND(Tasks[[#This Row],[_IsLeaf]]=1,Tasks[[#This Row],[_LeafProgress]]&gt;=1),IF(N(Tasks[[#This Row],[Actual Finish]])&gt;0,Tasks[[#This Row],[Actual Finish]],Tasks[[#This Row],[_ShownFcstFinish]]),"")</f>
        <v/>
      </c>
      <c r="ET162" s="41" t="n">
        <f aca="false">IF(Tasks[[#This Row],[_IsLeaf]]=1,N(Tasks[[#This Row],[Story Points]]),0)</f>
        <v>0</v>
      </c>
      <c r="EU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29"/>
      <c r="O163" s="29"/>
      <c r="P163" s="29"/>
      <c r="Q163" s="29"/>
      <c r="R163" s="29"/>
      <c r="S163" s="29"/>
      <c r="T163" s="30"/>
      <c r="U163" s="75"/>
      <c r="V163" s="75"/>
      <c r="W163" s="25" t="str">
        <f aca="false">IF(Tasks[[#This Row],[Task Name]]="","",IF(N(Tasks[[#This Row],[Baseline Start]])&gt;0,Tasks[[#This Row],[Baseline Start]],Tasks[[#This Row],[_CalcStart]]))</f>
        <v/>
      </c>
      <c r="X163" s="25" t="str">
        <f aca="false">IF(Tasks[[#This Row],[Task Name]]="","",IF(N(Tasks[[#This Row],[Baseline Finish]])&gt;0,Tasks[[#This Row],[Baseline Finish]],Tasks[[#This Row],[_CalcFinish]]))</f>
        <v/>
      </c>
      <c r="Y163" s="75"/>
      <c r="Z163" s="75"/>
      <c r="AA163" s="25" t="str">
        <f aca="false">IF(Tasks[[#This Row],[Task Name]]="","",IF(Tasks[[#This Row],[_IsSummary]],MIN(INDEX(Tasks[_ShownFcstStart],Tasks[[#This Row],[_Row]]+1):INDEX(Tasks[_ShownFcstStart],Tasks[[#This Row],[_Row]]+Tasks[[#This Row],[_Descendants]])),Tasks[[#This Row],[_ShownFcstStart]]))</f>
        <v/>
      </c>
      <c r="AB163" s="25" t="str">
        <f aca="false">IF(Tasks[[#This Row],[Task Name]]="","",IF(Tasks[[#This Row],[_IsSummary]],MAX(INDEX(Tasks[_ShownFcstFinish],Tasks[[#This Row],[_Row]]+1):INDEX(Tasks[_ShownFcstFinish],Tasks[[#This Row],[_Row]]+Tasks[[#This Row],[_Descendants]])),Tasks[[#This Row],[_ShownFcstFinish]]))</f>
        <v/>
      </c>
      <c r="AC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3" s="25" t="str">
        <f aca="false">IF(Tasks[[#This Row],[Task Name]]="","",IF(Tasks[[#This Row],[_IsSummary]],MIN(INDEX(Tasks[_LeafLateStart],Tasks[[#This Row],[_Row]]+1):INDEX(Tasks[_LeafLateStart],Tasks[[#This Row],[_Row]]+Tasks[[#This Row],[_Descendants]])),Tasks[[#This Row],[_LeafLateStart]]))</f>
        <v/>
      </c>
      <c r="AF163" s="25" t="str">
        <f aca="false">IF(Tasks[[#This Row],[Task Name]]="","",IF(Tasks[[#This Row],[_IsSummary]],MAX(INDEX(Tasks[_LeafLateFinish],Tasks[[#This Row],[_Row]]+1):INDEX(Tasks[_LeafLateFinish],Tasks[[#This Row],[_Row]]+Tasks[[#This Row],[_Descendants]])),Tasks[[#This Row],[_LeafLateFinish]]))</f>
        <v/>
      </c>
      <c r="AG163" s="28" t="str">
        <f aca="false">IF(Tasks[[#This Row],[Task Name]]="","",IF(Tasks[[#This Row],[_IsSummary]],MIN(INDEX(Tasks[_LeafTotalSlack],Tasks[[#This Row],[_Row]]+1):INDEX(Tasks[_LeafTotalSlack],Tasks[[#This Row],[_Row]]+Tasks[[#This Row],[_Descendants]])),Tasks[[#This Row],[_LeafTotalSlack]]))</f>
        <v/>
      </c>
      <c r="AH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3" s="28" t="str">
        <f aca="false">IF(Tasks[[#This Row],[Task Name]]="","",IF(IF(Tasks[[#This Row],[_IsSummary]],COUNTIF(INDEX(Tasks[_LeafCritical],Tasks[[#This Row],[_Row]]+1):INDEX(Tasks[_LeafCritical],Tasks[[#This Row],[_Row]]+Tasks[[#This Row],[_Descendants]]),TRUE())&gt;0,Tasks[[#This Row],[_LeafCritical]]),"Yes",""))</f>
        <v/>
      </c>
      <c r="AJ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3" s="89"/>
      <c r="AM1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3" s="28" t="str">
        <f aca="false">IF(Tasks[[#This Row],[Task Name]]="","",IF(Tasks[[#This Row],[Progress]]&gt;=1,"Complete",IF(OR(N(Tasks[[#This Row],[Actual Start]])&gt;0,Tasks[[#This Row],[Progress]]&gt;0),IF(Tasks[[#This Row],[Finish Var]]&gt;0,"Behind","In Progress"),IF(Tasks[[#This Row],[Planned Start]]&lt;StatusDate,"Late Start","Not Started"))))</f>
        <v/>
      </c>
      <c r="AO163" s="30"/>
      <c r="AP163" s="89"/>
      <c r="AQ1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3" s="96" t="str">
        <f aca="false">IF(Tasks[[#This Row],[Task Name]]="","",IF(Tasks[[#This Row],[_IsSummary]],SUM(INDEX(Tasks[_LeafTotalWork],Tasks[[#This Row],[_Row]]+1):INDEX(Tasks[_LeafTotalWork],Tasks[[#This Row],[_Row]]+Tasks[[#This Row],[_Descendants]])),Tasks[[#This Row],[_LeafTotalWork]]))</f>
        <v/>
      </c>
      <c r="AT163" s="97" t="str">
        <f aca="false">IF(Tasks[[#This Row],[Task Name]]="","",IF(Tasks[[#This Row],[_IsSummary]],SUM(INDEX(Tasks[_LeafTotalCost],Tasks[[#This Row],[_Row]]+1):INDEX(Tasks[_LeafTotalCost],Tasks[[#This Row],[_Row]]+Tasks[[#This Row],[_Descendants]])),Tasks[[#This Row],[_LeafTotalCost]]))</f>
        <v/>
      </c>
      <c r="AU163" s="98"/>
      <c r="AV163" s="29"/>
      <c r="AW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3" s="83"/>
      <c r="AY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3" s="30"/>
      <c r="BA163" s="25" t="str">
        <f aca="false">IF(Tasks[[#This Row],[Task Name]]="","",Tasks[[#This Row],[Forecast Start]])</f>
        <v/>
      </c>
      <c r="BB163" s="25" t="str">
        <f aca="false">IF(Tasks[[#This Row],[Task Name]]="","",Tasks[[#This Row],[Forecast Finish]])</f>
        <v/>
      </c>
      <c r="BC163" s="28" t="str">
        <f aca="false">IF(Tasks[[#This Row],[Task Name]]="","",IF(Tasks[[#This Row],[_IsSummary]],NETWORKDAYS.INTL(Tasks[[#This Row],[Forecast Start]],Tasks[[#This Row],[Forecast Finish]],WorkWeek,Holidays),N(Tasks[[#This Row],[Duration]])))</f>
        <v/>
      </c>
      <c r="BD163" s="96" t="str">
        <f aca="false">IF(Tasks[[#This Row],[Task Name]]="","",Tasks[[#This Row],[Work]])</f>
        <v/>
      </c>
      <c r="BE163" s="97" t="str">
        <f aca="false">IF(Tasks[[#This Row],[Task Name]]="","",Tasks[[#This Row],[Cost]])</f>
        <v/>
      </c>
      <c r="BF163" s="75"/>
      <c r="BG163" s="75"/>
      <c r="BH163" s="29"/>
      <c r="BI163" s="99"/>
      <c r="BJ163" s="98"/>
      <c r="BK163" s="28" t="str">
        <f aca="false">IF(OR(Tasks[[#This Row],[Task Name]]="",Tasks[[#This Row],[Baseline Duration]]=""),"",Tasks[[#This Row],[BL Source Duration]]-N(Tasks[[#This Row],[Baseline Duration]]))</f>
        <v/>
      </c>
      <c r="BL163" s="96" t="str">
        <f aca="false">IF(OR(Tasks[[#This Row],[Task Name]]="",Tasks[[#This Row],[Baseline Work]]=""),"",Tasks[[#This Row],[Work]]-N(Tasks[[#This Row],[Baseline Work]]))</f>
        <v/>
      </c>
      <c r="BM163" s="97" t="str">
        <f aca="false">IF(OR(Tasks[[#This Row],[Task Name]]="",Tasks[[#This Row],[Baseline Cost]]=""),"",Tasks[[#This Row],[Cost]]-N(Tasks[[#This Row],[Baseline Cost]]))</f>
        <v/>
      </c>
      <c r="BN163" s="97" t="str">
        <f aca="false">IF(Tasks[[#This Row],[Task Name]]="","",IF(Tasks[[#This Row],[_IsSummary]],SUM(INDEX(Tasks[_LeafBudget],Tasks[[#This Row],[_Row]]+1):INDEX(Tasks[_LeafBudget],Tasks[[#This Row],[_Row]]+Tasks[[#This Row],[_Descendants]])),Tasks[[#This Row],[_LeafBudget]]))</f>
        <v/>
      </c>
      <c r="BO163" s="97" t="str">
        <f aca="false">IF(Tasks[[#This Row],[Task Name]]="","",IF(Tasks[[#This Row],[_IsSummary]],SUM(INDEX(Tasks[_LeafPV],Tasks[[#This Row],[_Row]]+1):INDEX(Tasks[_LeafPV],Tasks[[#This Row],[_Row]]+Tasks[[#This Row],[_Descendants]])),Tasks[[#This Row],[_LeafPV]]))</f>
        <v/>
      </c>
      <c r="BP163" s="97" t="str">
        <f aca="false">IF(Tasks[[#This Row],[Task Name]]="","",IF(Tasks[[#This Row],[_IsSummary]],SUM(INDEX(Tasks[_LeafEV],Tasks[[#This Row],[_Row]]+1):INDEX(Tasks[_LeafEV],Tasks[[#This Row],[_Row]]+Tasks[[#This Row],[_Descendants]])),Tasks[[#This Row],[_LeafEV]]))</f>
        <v/>
      </c>
      <c r="BQ163" s="97" t="str">
        <f aca="false">IF(Tasks[[#This Row],[Task Name]]="","",IF(Tasks[[#This Row],[_IsSummary]],SUM(INDEX(Tasks[_LeafAC],Tasks[[#This Row],[_Row]]+1):INDEX(Tasks[_LeafAC],Tasks[[#This Row],[_Row]]+Tasks[[#This Row],[_Descendants]])),Tasks[[#This Row],[_LeafAC]]))</f>
        <v/>
      </c>
      <c r="BR163" s="41" t="str">
        <f aca="false">IF(Tasks[[#This Row],[Task Name]]="","",MAX(1,N(Tasks[[#This Row],[Level]])))</f>
        <v/>
      </c>
      <c r="BS163" s="41" t="n">
        <f aca="false">ROW()-ROW(Tasks[[#Headers],[ID]])</f>
        <v>158</v>
      </c>
      <c r="BT163" s="41" t="n">
        <f aca="false">IF(OR(Tasks[[#This Row],[Task Name]]="",Tasks[[#This Row],[_Level]]&lt;=1),0,IFERROR(LOOKUP(2,1/(Tasks[[#Headers],[_Level]]:Tasks[[#This Row],[_Level]]=Tasks[[#This Row],[_Level]]-1),ROW(Tasks[[#Headers],[_Level]]:Tasks[[#This Row],[_Level]])),0))</f>
        <v>0</v>
      </c>
      <c r="BU163" s="41" t="n">
        <f aca="false">IFERROR(N(INDEX(Tasks[_Level],Tasks[[#This Row],[_Row]]+1)),0)</f>
        <v>0</v>
      </c>
      <c r="BV163" s="100" t="b">
        <f aca="false">AND(Tasks[[#This Row],[Task Name]]&lt;&gt;"",Tasks[[#This Row],[_NextLevel]]&gt;Tasks[[#This Row],[_Level]])</f>
        <v>0</v>
      </c>
      <c r="BW163" s="41" t="n">
        <f aca="false">IF(Tasks[[#This Row],[_IsSummary]],COUNTIF(Tasks[WBS],Tasks[[#This Row],[WBS]]&amp;".*"),0)</f>
        <v>0</v>
      </c>
      <c r="BX163" s="41" t="n">
        <f aca="false">IF(AND(Tasks[[#This Row],[Task Name]]&lt;&gt;"",NOT(Tasks[[#This Row],[_IsSummary]])),1,0)</f>
        <v>0</v>
      </c>
      <c r="BY163" s="41" t="n">
        <f aca="false">IF(N(Tasks[[#This Row],[Pred1 UID]])=0,0,IFERROR(MATCH(Tasks[[#This Row],[Pred1 UID]],Tasks[UID],0),-1))</f>
        <v>0</v>
      </c>
      <c r="BZ163" s="41" t="n">
        <f aca="false">IF(N(Tasks[[#This Row],[Pred2 UID]])=0,0,IFERROR(MATCH(Tasks[[#This Row],[Pred2 UID]],Tasks[UID],0),-1))</f>
        <v>0</v>
      </c>
      <c r="CA163" s="41" t="n">
        <f aca="false">IF(N(Tasks[[#This Row],[Pred3 UID]])=0,0,IFERROR(MATCH(Tasks[[#This Row],[Pred3 UID]],Tasks[UID],0),-1))</f>
        <v>0</v>
      </c>
      <c r="CB163" s="41" t="n">
        <f aca="false">IF(N(Tasks[[#This Row],[Pred4 UID]])=0,0,IFERROR(MATCH(Tasks[[#This Row],[Pred4 UID]],Tasks[UID],0),-1))</f>
        <v>0</v>
      </c>
      <c r="CC1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3" s="101" t="n">
        <f aca="false">IF(OR(Tasks[[#This Row],[_ConstraintCode]]=2,Tasks[[#This Row],[_ConstraintCode]]=3,Tasks[[#This Row],[_ConstraintCode]]=4,Tasks[[#This Row],[_ConstraintCode]]=6),Tasks[[#This Row],[_ConstraintStart]],0)</f>
        <v>0</v>
      </c>
      <c r="CF163" s="101" t="n">
        <f aca="false">IF(OR(Tasks[[#This Row],[_ConstraintCode]]=2,Tasks[[#This Row],[_ConstraintCode]]=3,Tasks[[#This Row],[_ConstraintCode]]=5,Tasks[[#This Row],[_ConstraintCode]]=7),Tasks[[#This Row],[_ConstraintStart]],2958465)</f>
        <v>2958465</v>
      </c>
      <c r="CG16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3" s="101" t="str">
        <f aca="false">IF(NOT(Tasks[[#This Row],[_IsLeaf]]=1),"",IF(N(Tasks[[#This Row],[Duration]])&lt;=0,Tasks[[#This Row],[_LeafCalcStart]],WORKDAY.INTL(Tasks[[#This Row],[_LeafCalcStart]],Tasks[[#This Row],[Duration]]-1,WorkWeek,Holidays)))</f>
        <v/>
      </c>
      <c r="CI16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3" s="41" t="n">
        <f aca="false">IF(NOT(Tasks[[#This Row],[_IsLeaf]]=1),0,IF(N(Tasks[[#This Row],[Actual Finish]])&gt;0,1,MIN(1,N(Tasks[[#This Row],[% Complete]]))))</f>
        <v>0</v>
      </c>
      <c r="CL163" s="41" t="n">
        <f aca="false">IF(OR(NOT(Tasks[[#This Row],[_IsLeaf]]=1),Tasks[[#This Row],[Resource]]=""),0,N(Tasks[[#This Row],[Duration]])*HoursPerDay*IF(Tasks[[#This Row],[Units]]="",DefaultUnits,Tasks[[#This Row],[Units]]))</f>
        <v>0</v>
      </c>
      <c r="CM163" s="41" t="n">
        <f aca="false">IF(Tasks[[#This Row],[_LeafWork]]=0,0,Tasks[[#This Row],[_LeafWork]]*IFERROR(INDEX(res_Rate,MATCH(Tasks[[#This Row],[Resource]],res_Name,0)),0))</f>
        <v>0</v>
      </c>
      <c r="CN163" s="41" t="n">
        <f aca="false">Tasks[[#This Row],[_LeafWork]]+IF(Tasks[[#This Row],[_IsLeaf]]=1,SUMIFS(asg_Work,asg_TaskUID,Tasks[[#This Row],[UID]],asg_Valid,1),0)</f>
        <v>0</v>
      </c>
      <c r="CO163" s="41" t="n">
        <f aca="false">Tasks[[#This Row],[_LeafCost]]+IF(Tasks[[#This Row],[_IsLeaf]]=1,SUMIFS(asg_Cost,asg_TaskUID,Tasks[[#This Row],[UID]],asg_Valid,1),0)</f>
        <v>0</v>
      </c>
      <c r="CP163" s="41" t="n">
        <f aca="false">IF(Tasks[[#This Row],[_LeafTotalCost]]=0,Tasks[[#This Row],[_LeafAC]],Tasks[[#This Row],[_LeafAC]]*Tasks[[#This Row],[_LeafCost]]/Tasks[[#This Row],[_LeafTotalCost]])</f>
        <v>0</v>
      </c>
      <c r="CQ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3" s="41" t="n">
        <f aca="false">IF(NOT(Tasks[[#This Row],[_IsLeaf]]=1),0,MAX(_xlfn.MAXIFS(Tasks[_Row],Tasks[Pred1 UID],Tasks[[#This Row],[UID]]),_xlfn.MAXIFS(Tasks[_Row],Tasks[Pred2 UID],Tasks[[#This Row],[UID]]),_xlfn.MAXIFS(Tasks[_Row],Tasks[Pred3 UID],Tasks[[#This Row],[UID]]),_xlfn.MAXIFS(Tasks[_Row],Tasks[Pred4 UID],Tasks[[#This Row],[UID]])))</f>
        <v>0</v>
      </c>
      <c r="CZ1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3" s="101" t="str">
        <f aca="false">IF(NOT(Tasks[[#This Row],[_IsLeaf]]=1),"",IF(N(Tasks[[#This Row],[Duration]])&lt;=0,Tasks[[#This Row],[_LeafLateFinish]],WORKDAY.INTL(Tasks[[#This Row],[_LeafLateFinish]],-(Tasks[[#This Row],[Duration]]-1),WorkWeek,Holidays)))</f>
        <v/>
      </c>
      <c r="DC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3" s="100" t="b">
        <f aca="false">AND(Tasks[[#This Row],[_IsLeaf]]=1,Tasks[[#This Row],[_LeafProgress]]&lt;1,N(Tasks[[#This Row],[_LeafTotalSlack]])&lt;=CriticalSlackDays)</f>
        <v>0</v>
      </c>
      <c r="DE163" s="41" t="n">
        <f aca="false">IF(AND(Tasks[[#This Row],[_IsLeaf]]=1,Tasks[[#This Row],[_ConstraintCode]]=1,Tasks[[#This Row],[Mode]]&lt;&gt;"Manual",N(Tasks[[#This Row],[Actual Start]])=0),MAX(0,N(Tasks[[#This Row],[Free Slack]])),0)</f>
        <v>0</v>
      </c>
      <c r="DF163" s="101" t="str">
        <f aca="false">IF(NOT(Tasks[[#This Row],[_IsLeaf]]=1),"",IF(Tasks[[#This Row],[_AlapShift]]=0,Tasks[[#This Row],[_LeafCalcStart]],WORKDAY.INTL(Tasks[[#This Row],[_LeafCalcStart]],Tasks[[#This Row],[_AlapShift]],WorkWeek,Holidays)))</f>
        <v/>
      </c>
      <c r="DG163" s="101" t="str">
        <f aca="false">IF(NOT(Tasks[[#This Row],[_IsLeaf]]=1),"",IF(Tasks[[#This Row],[_AlapShift]]=0,Tasks[[#This Row],[_LeafCalcFinish]],WORKDAY.INTL(Tasks[[#This Row],[_LeafCalcFinish]],Tasks[[#This Row],[_AlapShift]],WorkWeek,Holidays)))</f>
        <v/>
      </c>
      <c r="DH163" s="101" t="str">
        <f aca="false">IF(NOT(Tasks[[#This Row],[_IsLeaf]]=1),"",IF(Tasks[[#This Row],[_AlapShift]]=0,Tasks[[#This Row],[_LeafFcstStart]],WORKDAY.INTL(Tasks[[#This Row],[_LeafFcstStart]],Tasks[[#This Row],[_AlapShift]],WorkWeek,Holidays)))</f>
        <v/>
      </c>
      <c r="DI163" s="101" t="str">
        <f aca="false">IF(NOT(Tasks[[#This Row],[_IsLeaf]]=1),"",IF(Tasks[[#This Row],[_AlapShift]]=0,Tasks[[#This Row],[_LeafFcstFinish]],WORKDAY.INTL(Tasks[[#This Row],[_LeafFcstFinish]],Tasks[[#This Row],[_AlapShift]],WorkWeek,Holidays)))</f>
        <v/>
      </c>
      <c r="DJ163" s="101" t="str">
        <f aca="false">IF(Tasks[[#This Row],[Task Name]]="","",IF(Tasks[[#This Row],[_IsSummary]],MIN(INDEX(Tasks[_ShownCalcStart],Tasks[[#This Row],[_Row]]+1):INDEX(Tasks[_ShownCalcStart],Tasks[[#This Row],[_Row]]+Tasks[[#This Row],[_Descendants]])),Tasks[[#This Row],[_ShownCalcStart]]))</f>
        <v/>
      </c>
      <c r="DK163" s="101" t="str">
        <f aca="false">IF(Tasks[[#This Row],[Task Name]]="","",IF(Tasks[[#This Row],[_IsSummary]],MAX(INDEX(Tasks[_ShownCalcFinish],Tasks[[#This Row],[_Row]]+1):INDEX(Tasks[_ShownCalcFinish],Tasks[[#This Row],[_Row]]+Tasks[[#This Row],[_Descendants]])),Tasks[[#This Row],[_ShownCalcFinish]]))</f>
        <v/>
      </c>
      <c r="D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3" s="41" t="n">
        <f aca="false">IF(AND(Tasks[[#This Row],[_IsLeaf]]=1,Tasks[[#This Row],[_LeafTotalWork]]&gt;0),NETWORKDAYS.INTL(ProjectStart,Tasks[[#This Row],[_ShownFcstStart]],WorkWeek,Holidays),0)</f>
        <v>0</v>
      </c>
      <c r="DY163" s="41" t="n">
        <f aca="false">IF(AND(Tasks[[#This Row],[_IsLeaf]]=1,Tasks[[#This Row],[_LeafTotalWork]]&gt;0),MAX(Tasks[[#This Row],[_StartWorkday]],NETWORKDAYS.INTL(ProjectStart,Tasks[[#This Row],[_ShownFcstFinish]],WorkWeek,Holidays)),0)</f>
        <v>0</v>
      </c>
      <c r="DZ163" s="41" t="n">
        <f aca="false">IF(AND(Tasks[[#This Row],[_IsLeaf]]=1,Tasks[[#This Row],[_LeafTotalWork]]&gt;0),Tasks[[#This Row],[_LeafWork]]/(Tasks[[#This Row],[_FinishWorkday]]-Tasks[[#This Row],[_StartWorkday]]+1),0)</f>
        <v>0</v>
      </c>
      <c r="EA163" s="41" t="n">
        <f aca="false">Tasks[[#This Row],[_WorkPerWorkday]]*(Tasks[[#This Row],[_StartWorkday]]-1)</f>
        <v>-0</v>
      </c>
      <c r="EB163" s="41" t="n">
        <f aca="false">IF(Tasks[[#This Row],[_IsLeaf]]=1,MAX(N(Tasks[[#This Row],[Duration]]),0.1),0)</f>
        <v>0</v>
      </c>
      <c r="EC163" s="41" t="n">
        <f aca="false">Tasks[[#This Row],[_WeightDur]]*Tasks[[#This Row],[_LeafProgress]]</f>
        <v>0</v>
      </c>
      <c r="ED1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3" s="41" t="str">
        <f aca="false">IF(AND(Tasks[[#This Row],[_IsLeaf]]=1,N(Tasks[[#This Row],[Duration]])=0,Tasks[[#This Row],[_LeafProgress]]&lt;1),Tasks[[#This Row],[_ShownFcstFinish]]+Tasks[[#This Row],[_Row]]/100000,"")</f>
        <v/>
      </c>
      <c r="EF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3" s="41" t="n">
        <f aca="false">IF(NOT(Tasks[[#This Row],[_IsLeaf]]=1),0,IF(Tasks[[#This Row],[Baseline Cost]]="",Tasks[[#This Row],[_LeafTotalCost]],N(Tasks[[#This Row],[Baseline Cost]])))</f>
        <v>0</v>
      </c>
      <c r="EH163" s="41" t="n">
        <f aca="false">Tasks[[#This Row],[_LeafBudget]]*Tasks[[#This Row],[_PlannedPct]]</f>
        <v>0</v>
      </c>
      <c r="EI163" s="41" t="n">
        <f aca="false">Tasks[[#This Row],[_LeafBudget]]*Tasks[[#This Row],[_LeafProgress]]</f>
        <v>0</v>
      </c>
      <c r="EJ163" s="41" t="n">
        <f aca="false">IF(NOT(Tasks[[#This Row],[_IsLeaf]]=1),0,IF(Tasks[[#This Row],[Actual Cost]]="",Tasks[[#This Row],[_LeafTotalCost]]*Tasks[[#This Row],[_LeafProgress]],N(Tasks[[#This Row],[Actual Cost]])))</f>
        <v>0</v>
      </c>
      <c r="EK163" s="41" t="str">
        <f aca="false">IF(Tasks[[#This Row],[Task Name]]="","",LEFT(Tasks[[#This Row],[WBS]],FIND(".",Tasks[[#This Row],[WBS]]&amp;".")-1))</f>
        <v/>
      </c>
      <c r="EL163" s="41" t="str">
        <f aca="false">IF(AND(Tasks[[#This Row],[Task Name]]&lt;&gt;"",Tasks[[#This Row],[_Level]]=1),Tasks[[#This Row],[_Row]],"")</f>
        <v/>
      </c>
      <c r="EM163" s="41" t="str">
        <f aca="false">IF(AND(Tasks[[#This Row],[_IsLeaf]]=1,N(Tasks[[#This Row],[Duration]])=0),Tasks[[#This Row],[Planned Finish]]+Tasks[[#This Row],[_Row]]/100000,"")</f>
        <v/>
      </c>
      <c r="EN163" s="41" t="str">
        <f aca="false">IF(AND(Tasks[[#This Row],[_IsLeaf]]=1,Tasks[[#This Row],[_LeafProgress]]&lt;1,OR(N(Tasks[[#This Row],[Finish Var]])&gt;0,Tasks[[#This Row],[Status]]="Late Start")),MAX(0,Tasks[[#This Row],[Finish Var]])+1-Tasks[[#This Row],[_Row]]/1000000,"")</f>
        <v/>
      </c>
      <c r="EO163" s="41" t="str">
        <f aca="false">IF(AND(Tasks[[#This Row],[_IsLeaf]]=1,N(Tasks[[#This Row],[Actual Start]])=0,Tasks[[#This Row],[_ShownFcstStart]]&gt;=StatusDate,Tasks[[#This Row],[_ShownFcstStart]]&lt;=LookaheadEnd),Tasks[[#This Row],[_ShownFcstStart]]+Tasks[[#This Row],[_Row]]/100000,"")</f>
        <v/>
      </c>
      <c r="EP163" s="41" t="str">
        <f aca="false">IF(AND(Tasks[[#This Row],[_IsLeaf]]=1,Tasks[[#This Row],[_LeafProgress]]&lt;1,Tasks[[#This Row],[_ShownFcstFinish]]&gt;=StatusDate,Tasks[[#This Row],[_ShownFcstFinish]]&lt;=LookaheadEnd),Tasks[[#This Row],[_ShownFcstFinish]]+Tasks[[#This Row],[_Row]]/100000,"")</f>
        <v/>
      </c>
      <c r="EQ163" s="41" t="str">
        <f aca="false">IF(Tasks[[#This Row],[_LeafCritical]],Tasks[[#This Row],[_ShownFcstStart]]+Tasks[[#This Row],[_Row]]/100000,"")</f>
        <v/>
      </c>
      <c r="ER163" s="41" t="n">
        <f aca="false">Tasks[[#This Row],[_LeafWork]]*Tasks[[#This Row],[_LeafProgress]]</f>
        <v>0</v>
      </c>
      <c r="ES163" s="101" t="str">
        <f aca="false">IF(AND(Tasks[[#This Row],[_IsLeaf]]=1,Tasks[[#This Row],[_LeafProgress]]&gt;=1),IF(N(Tasks[[#This Row],[Actual Finish]])&gt;0,Tasks[[#This Row],[Actual Finish]],Tasks[[#This Row],[_ShownFcstFinish]]),"")</f>
        <v/>
      </c>
      <c r="ET163" s="41" t="n">
        <f aca="false">IF(Tasks[[#This Row],[_IsLeaf]]=1,N(Tasks[[#This Row],[Story Points]]),0)</f>
        <v>0</v>
      </c>
      <c r="EU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29"/>
      <c r="O164" s="29"/>
      <c r="P164" s="29"/>
      <c r="Q164" s="29"/>
      <c r="R164" s="29"/>
      <c r="S164" s="29"/>
      <c r="T164" s="30"/>
      <c r="U164" s="75"/>
      <c r="V164" s="75"/>
      <c r="W164" s="25" t="str">
        <f aca="false">IF(Tasks[[#This Row],[Task Name]]="","",IF(N(Tasks[[#This Row],[Baseline Start]])&gt;0,Tasks[[#This Row],[Baseline Start]],Tasks[[#This Row],[_CalcStart]]))</f>
        <v/>
      </c>
      <c r="X164" s="25" t="str">
        <f aca="false">IF(Tasks[[#This Row],[Task Name]]="","",IF(N(Tasks[[#This Row],[Baseline Finish]])&gt;0,Tasks[[#This Row],[Baseline Finish]],Tasks[[#This Row],[_CalcFinish]]))</f>
        <v/>
      </c>
      <c r="Y164" s="75"/>
      <c r="Z164" s="75"/>
      <c r="AA164" s="25" t="str">
        <f aca="false">IF(Tasks[[#This Row],[Task Name]]="","",IF(Tasks[[#This Row],[_IsSummary]],MIN(INDEX(Tasks[_ShownFcstStart],Tasks[[#This Row],[_Row]]+1):INDEX(Tasks[_ShownFcstStart],Tasks[[#This Row],[_Row]]+Tasks[[#This Row],[_Descendants]])),Tasks[[#This Row],[_ShownFcstStart]]))</f>
        <v/>
      </c>
      <c r="AB164" s="25" t="str">
        <f aca="false">IF(Tasks[[#This Row],[Task Name]]="","",IF(Tasks[[#This Row],[_IsSummary]],MAX(INDEX(Tasks[_ShownFcstFinish],Tasks[[#This Row],[_Row]]+1):INDEX(Tasks[_ShownFcstFinish],Tasks[[#This Row],[_Row]]+Tasks[[#This Row],[_Descendants]])),Tasks[[#This Row],[_ShownFcstFinish]]))</f>
        <v/>
      </c>
      <c r="AC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4" s="25" t="str">
        <f aca="false">IF(Tasks[[#This Row],[Task Name]]="","",IF(Tasks[[#This Row],[_IsSummary]],MIN(INDEX(Tasks[_LeafLateStart],Tasks[[#This Row],[_Row]]+1):INDEX(Tasks[_LeafLateStart],Tasks[[#This Row],[_Row]]+Tasks[[#This Row],[_Descendants]])),Tasks[[#This Row],[_LeafLateStart]]))</f>
        <v/>
      </c>
      <c r="AF164" s="25" t="str">
        <f aca="false">IF(Tasks[[#This Row],[Task Name]]="","",IF(Tasks[[#This Row],[_IsSummary]],MAX(INDEX(Tasks[_LeafLateFinish],Tasks[[#This Row],[_Row]]+1):INDEX(Tasks[_LeafLateFinish],Tasks[[#This Row],[_Row]]+Tasks[[#This Row],[_Descendants]])),Tasks[[#This Row],[_LeafLateFinish]]))</f>
        <v/>
      </c>
      <c r="AG164" s="28" t="str">
        <f aca="false">IF(Tasks[[#This Row],[Task Name]]="","",IF(Tasks[[#This Row],[_IsSummary]],MIN(INDEX(Tasks[_LeafTotalSlack],Tasks[[#This Row],[_Row]]+1):INDEX(Tasks[_LeafTotalSlack],Tasks[[#This Row],[_Row]]+Tasks[[#This Row],[_Descendants]])),Tasks[[#This Row],[_LeafTotalSlack]]))</f>
        <v/>
      </c>
      <c r="AH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4" s="28" t="str">
        <f aca="false">IF(Tasks[[#This Row],[Task Name]]="","",IF(IF(Tasks[[#This Row],[_IsSummary]],COUNTIF(INDEX(Tasks[_LeafCritical],Tasks[[#This Row],[_Row]]+1):INDEX(Tasks[_LeafCritical],Tasks[[#This Row],[_Row]]+Tasks[[#This Row],[_Descendants]]),TRUE())&gt;0,Tasks[[#This Row],[_LeafCritical]]),"Yes",""))</f>
        <v/>
      </c>
      <c r="AJ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4" s="89"/>
      <c r="AM1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4" s="28" t="str">
        <f aca="false">IF(Tasks[[#This Row],[Task Name]]="","",IF(Tasks[[#This Row],[Progress]]&gt;=1,"Complete",IF(OR(N(Tasks[[#This Row],[Actual Start]])&gt;0,Tasks[[#This Row],[Progress]]&gt;0),IF(Tasks[[#This Row],[Finish Var]]&gt;0,"Behind","In Progress"),IF(Tasks[[#This Row],[Planned Start]]&lt;StatusDate,"Late Start","Not Started"))))</f>
        <v/>
      </c>
      <c r="AO164" s="30"/>
      <c r="AP164" s="89"/>
      <c r="AQ1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4" s="96" t="str">
        <f aca="false">IF(Tasks[[#This Row],[Task Name]]="","",IF(Tasks[[#This Row],[_IsSummary]],SUM(INDEX(Tasks[_LeafTotalWork],Tasks[[#This Row],[_Row]]+1):INDEX(Tasks[_LeafTotalWork],Tasks[[#This Row],[_Row]]+Tasks[[#This Row],[_Descendants]])),Tasks[[#This Row],[_LeafTotalWork]]))</f>
        <v/>
      </c>
      <c r="AT164" s="97" t="str">
        <f aca="false">IF(Tasks[[#This Row],[Task Name]]="","",IF(Tasks[[#This Row],[_IsSummary]],SUM(INDEX(Tasks[_LeafTotalCost],Tasks[[#This Row],[_Row]]+1):INDEX(Tasks[_LeafTotalCost],Tasks[[#This Row],[_Row]]+Tasks[[#This Row],[_Descendants]])),Tasks[[#This Row],[_LeafTotalCost]]))</f>
        <v/>
      </c>
      <c r="AU164" s="98"/>
      <c r="AV164" s="29"/>
      <c r="AW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4" s="83"/>
      <c r="AY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4" s="30"/>
      <c r="BA164" s="25" t="str">
        <f aca="false">IF(Tasks[[#This Row],[Task Name]]="","",Tasks[[#This Row],[Forecast Start]])</f>
        <v/>
      </c>
      <c r="BB164" s="25" t="str">
        <f aca="false">IF(Tasks[[#This Row],[Task Name]]="","",Tasks[[#This Row],[Forecast Finish]])</f>
        <v/>
      </c>
      <c r="BC164" s="28" t="str">
        <f aca="false">IF(Tasks[[#This Row],[Task Name]]="","",IF(Tasks[[#This Row],[_IsSummary]],NETWORKDAYS.INTL(Tasks[[#This Row],[Forecast Start]],Tasks[[#This Row],[Forecast Finish]],WorkWeek,Holidays),N(Tasks[[#This Row],[Duration]])))</f>
        <v/>
      </c>
      <c r="BD164" s="96" t="str">
        <f aca="false">IF(Tasks[[#This Row],[Task Name]]="","",Tasks[[#This Row],[Work]])</f>
        <v/>
      </c>
      <c r="BE164" s="97" t="str">
        <f aca="false">IF(Tasks[[#This Row],[Task Name]]="","",Tasks[[#This Row],[Cost]])</f>
        <v/>
      </c>
      <c r="BF164" s="75"/>
      <c r="BG164" s="75"/>
      <c r="BH164" s="29"/>
      <c r="BI164" s="99"/>
      <c r="BJ164" s="98"/>
      <c r="BK164" s="28" t="str">
        <f aca="false">IF(OR(Tasks[[#This Row],[Task Name]]="",Tasks[[#This Row],[Baseline Duration]]=""),"",Tasks[[#This Row],[BL Source Duration]]-N(Tasks[[#This Row],[Baseline Duration]]))</f>
        <v/>
      </c>
      <c r="BL164" s="96" t="str">
        <f aca="false">IF(OR(Tasks[[#This Row],[Task Name]]="",Tasks[[#This Row],[Baseline Work]]=""),"",Tasks[[#This Row],[Work]]-N(Tasks[[#This Row],[Baseline Work]]))</f>
        <v/>
      </c>
      <c r="BM164" s="97" t="str">
        <f aca="false">IF(OR(Tasks[[#This Row],[Task Name]]="",Tasks[[#This Row],[Baseline Cost]]=""),"",Tasks[[#This Row],[Cost]]-N(Tasks[[#This Row],[Baseline Cost]]))</f>
        <v/>
      </c>
      <c r="BN164" s="97" t="str">
        <f aca="false">IF(Tasks[[#This Row],[Task Name]]="","",IF(Tasks[[#This Row],[_IsSummary]],SUM(INDEX(Tasks[_LeafBudget],Tasks[[#This Row],[_Row]]+1):INDEX(Tasks[_LeafBudget],Tasks[[#This Row],[_Row]]+Tasks[[#This Row],[_Descendants]])),Tasks[[#This Row],[_LeafBudget]]))</f>
        <v/>
      </c>
      <c r="BO164" s="97" t="str">
        <f aca="false">IF(Tasks[[#This Row],[Task Name]]="","",IF(Tasks[[#This Row],[_IsSummary]],SUM(INDEX(Tasks[_LeafPV],Tasks[[#This Row],[_Row]]+1):INDEX(Tasks[_LeafPV],Tasks[[#This Row],[_Row]]+Tasks[[#This Row],[_Descendants]])),Tasks[[#This Row],[_LeafPV]]))</f>
        <v/>
      </c>
      <c r="BP164" s="97" t="str">
        <f aca="false">IF(Tasks[[#This Row],[Task Name]]="","",IF(Tasks[[#This Row],[_IsSummary]],SUM(INDEX(Tasks[_LeafEV],Tasks[[#This Row],[_Row]]+1):INDEX(Tasks[_LeafEV],Tasks[[#This Row],[_Row]]+Tasks[[#This Row],[_Descendants]])),Tasks[[#This Row],[_LeafEV]]))</f>
        <v/>
      </c>
      <c r="BQ164" s="97" t="str">
        <f aca="false">IF(Tasks[[#This Row],[Task Name]]="","",IF(Tasks[[#This Row],[_IsSummary]],SUM(INDEX(Tasks[_LeafAC],Tasks[[#This Row],[_Row]]+1):INDEX(Tasks[_LeafAC],Tasks[[#This Row],[_Row]]+Tasks[[#This Row],[_Descendants]])),Tasks[[#This Row],[_LeafAC]]))</f>
        <v/>
      </c>
      <c r="BR164" s="41" t="str">
        <f aca="false">IF(Tasks[[#This Row],[Task Name]]="","",MAX(1,N(Tasks[[#This Row],[Level]])))</f>
        <v/>
      </c>
      <c r="BS164" s="41" t="n">
        <f aca="false">ROW()-ROW(Tasks[[#Headers],[ID]])</f>
        <v>159</v>
      </c>
      <c r="BT164" s="41" t="n">
        <f aca="false">IF(OR(Tasks[[#This Row],[Task Name]]="",Tasks[[#This Row],[_Level]]&lt;=1),0,IFERROR(LOOKUP(2,1/(Tasks[[#Headers],[_Level]]:Tasks[[#This Row],[_Level]]=Tasks[[#This Row],[_Level]]-1),ROW(Tasks[[#Headers],[_Level]]:Tasks[[#This Row],[_Level]])),0))</f>
        <v>0</v>
      </c>
      <c r="BU164" s="41" t="n">
        <f aca="false">IFERROR(N(INDEX(Tasks[_Level],Tasks[[#This Row],[_Row]]+1)),0)</f>
        <v>0</v>
      </c>
      <c r="BV164" s="100" t="b">
        <f aca="false">AND(Tasks[[#This Row],[Task Name]]&lt;&gt;"",Tasks[[#This Row],[_NextLevel]]&gt;Tasks[[#This Row],[_Level]])</f>
        <v>0</v>
      </c>
      <c r="BW164" s="41" t="n">
        <f aca="false">IF(Tasks[[#This Row],[_IsSummary]],COUNTIF(Tasks[WBS],Tasks[[#This Row],[WBS]]&amp;".*"),0)</f>
        <v>0</v>
      </c>
      <c r="BX164" s="41" t="n">
        <f aca="false">IF(AND(Tasks[[#This Row],[Task Name]]&lt;&gt;"",NOT(Tasks[[#This Row],[_IsSummary]])),1,0)</f>
        <v>0</v>
      </c>
      <c r="BY164" s="41" t="n">
        <f aca="false">IF(N(Tasks[[#This Row],[Pred1 UID]])=0,0,IFERROR(MATCH(Tasks[[#This Row],[Pred1 UID]],Tasks[UID],0),-1))</f>
        <v>0</v>
      </c>
      <c r="BZ164" s="41" t="n">
        <f aca="false">IF(N(Tasks[[#This Row],[Pred2 UID]])=0,0,IFERROR(MATCH(Tasks[[#This Row],[Pred2 UID]],Tasks[UID],0),-1))</f>
        <v>0</v>
      </c>
      <c r="CA164" s="41" t="n">
        <f aca="false">IF(N(Tasks[[#This Row],[Pred3 UID]])=0,0,IFERROR(MATCH(Tasks[[#This Row],[Pred3 UID]],Tasks[UID],0),-1))</f>
        <v>0</v>
      </c>
      <c r="CB164" s="41" t="n">
        <f aca="false">IF(N(Tasks[[#This Row],[Pred4 UID]])=0,0,IFERROR(MATCH(Tasks[[#This Row],[Pred4 UID]],Tasks[UID],0),-1))</f>
        <v>0</v>
      </c>
      <c r="CC1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4" s="101" t="n">
        <f aca="false">IF(OR(Tasks[[#This Row],[_ConstraintCode]]=2,Tasks[[#This Row],[_ConstraintCode]]=3,Tasks[[#This Row],[_ConstraintCode]]=4,Tasks[[#This Row],[_ConstraintCode]]=6),Tasks[[#This Row],[_ConstraintStart]],0)</f>
        <v>0</v>
      </c>
      <c r="CF164" s="101" t="n">
        <f aca="false">IF(OR(Tasks[[#This Row],[_ConstraintCode]]=2,Tasks[[#This Row],[_ConstraintCode]]=3,Tasks[[#This Row],[_ConstraintCode]]=5,Tasks[[#This Row],[_ConstraintCode]]=7),Tasks[[#This Row],[_ConstraintStart]],2958465)</f>
        <v>2958465</v>
      </c>
      <c r="CG16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4" s="101" t="str">
        <f aca="false">IF(NOT(Tasks[[#This Row],[_IsLeaf]]=1),"",IF(N(Tasks[[#This Row],[Duration]])&lt;=0,Tasks[[#This Row],[_LeafCalcStart]],WORKDAY.INTL(Tasks[[#This Row],[_LeafCalcStart]],Tasks[[#This Row],[Duration]]-1,WorkWeek,Holidays)))</f>
        <v/>
      </c>
      <c r="CI16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4" s="41" t="n">
        <f aca="false">IF(NOT(Tasks[[#This Row],[_IsLeaf]]=1),0,IF(N(Tasks[[#This Row],[Actual Finish]])&gt;0,1,MIN(1,N(Tasks[[#This Row],[% Complete]]))))</f>
        <v>0</v>
      </c>
      <c r="CL164" s="41" t="n">
        <f aca="false">IF(OR(NOT(Tasks[[#This Row],[_IsLeaf]]=1),Tasks[[#This Row],[Resource]]=""),0,N(Tasks[[#This Row],[Duration]])*HoursPerDay*IF(Tasks[[#This Row],[Units]]="",DefaultUnits,Tasks[[#This Row],[Units]]))</f>
        <v>0</v>
      </c>
      <c r="CM164" s="41" t="n">
        <f aca="false">IF(Tasks[[#This Row],[_LeafWork]]=0,0,Tasks[[#This Row],[_LeafWork]]*IFERROR(INDEX(res_Rate,MATCH(Tasks[[#This Row],[Resource]],res_Name,0)),0))</f>
        <v>0</v>
      </c>
      <c r="CN164" s="41" t="n">
        <f aca="false">Tasks[[#This Row],[_LeafWork]]+IF(Tasks[[#This Row],[_IsLeaf]]=1,SUMIFS(asg_Work,asg_TaskUID,Tasks[[#This Row],[UID]],asg_Valid,1),0)</f>
        <v>0</v>
      </c>
      <c r="CO164" s="41" t="n">
        <f aca="false">Tasks[[#This Row],[_LeafCost]]+IF(Tasks[[#This Row],[_IsLeaf]]=1,SUMIFS(asg_Cost,asg_TaskUID,Tasks[[#This Row],[UID]],asg_Valid,1),0)</f>
        <v>0</v>
      </c>
      <c r="CP164" s="41" t="n">
        <f aca="false">IF(Tasks[[#This Row],[_LeafTotalCost]]=0,Tasks[[#This Row],[_LeafAC]],Tasks[[#This Row],[_LeafAC]]*Tasks[[#This Row],[_LeafCost]]/Tasks[[#This Row],[_LeafTotalCost]])</f>
        <v>0</v>
      </c>
      <c r="CQ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4" s="41" t="n">
        <f aca="false">IF(NOT(Tasks[[#This Row],[_IsLeaf]]=1),0,MAX(_xlfn.MAXIFS(Tasks[_Row],Tasks[Pred1 UID],Tasks[[#This Row],[UID]]),_xlfn.MAXIFS(Tasks[_Row],Tasks[Pred2 UID],Tasks[[#This Row],[UID]]),_xlfn.MAXIFS(Tasks[_Row],Tasks[Pred3 UID],Tasks[[#This Row],[UID]]),_xlfn.MAXIFS(Tasks[_Row],Tasks[Pred4 UID],Tasks[[#This Row],[UID]])))</f>
        <v>0</v>
      </c>
      <c r="CZ1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4" s="101" t="str">
        <f aca="false">IF(NOT(Tasks[[#This Row],[_IsLeaf]]=1),"",IF(N(Tasks[[#This Row],[Duration]])&lt;=0,Tasks[[#This Row],[_LeafLateFinish]],WORKDAY.INTL(Tasks[[#This Row],[_LeafLateFinish]],-(Tasks[[#This Row],[Duration]]-1),WorkWeek,Holidays)))</f>
        <v/>
      </c>
      <c r="DC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4" s="100" t="b">
        <f aca="false">AND(Tasks[[#This Row],[_IsLeaf]]=1,Tasks[[#This Row],[_LeafProgress]]&lt;1,N(Tasks[[#This Row],[_LeafTotalSlack]])&lt;=CriticalSlackDays)</f>
        <v>0</v>
      </c>
      <c r="DE164" s="41" t="n">
        <f aca="false">IF(AND(Tasks[[#This Row],[_IsLeaf]]=1,Tasks[[#This Row],[_ConstraintCode]]=1,Tasks[[#This Row],[Mode]]&lt;&gt;"Manual",N(Tasks[[#This Row],[Actual Start]])=0),MAX(0,N(Tasks[[#This Row],[Free Slack]])),0)</f>
        <v>0</v>
      </c>
      <c r="DF164" s="101" t="str">
        <f aca="false">IF(NOT(Tasks[[#This Row],[_IsLeaf]]=1),"",IF(Tasks[[#This Row],[_AlapShift]]=0,Tasks[[#This Row],[_LeafCalcStart]],WORKDAY.INTL(Tasks[[#This Row],[_LeafCalcStart]],Tasks[[#This Row],[_AlapShift]],WorkWeek,Holidays)))</f>
        <v/>
      </c>
      <c r="DG164" s="101" t="str">
        <f aca="false">IF(NOT(Tasks[[#This Row],[_IsLeaf]]=1),"",IF(Tasks[[#This Row],[_AlapShift]]=0,Tasks[[#This Row],[_LeafCalcFinish]],WORKDAY.INTL(Tasks[[#This Row],[_LeafCalcFinish]],Tasks[[#This Row],[_AlapShift]],WorkWeek,Holidays)))</f>
        <v/>
      </c>
      <c r="DH164" s="101" t="str">
        <f aca="false">IF(NOT(Tasks[[#This Row],[_IsLeaf]]=1),"",IF(Tasks[[#This Row],[_AlapShift]]=0,Tasks[[#This Row],[_LeafFcstStart]],WORKDAY.INTL(Tasks[[#This Row],[_LeafFcstStart]],Tasks[[#This Row],[_AlapShift]],WorkWeek,Holidays)))</f>
        <v/>
      </c>
      <c r="DI164" s="101" t="str">
        <f aca="false">IF(NOT(Tasks[[#This Row],[_IsLeaf]]=1),"",IF(Tasks[[#This Row],[_AlapShift]]=0,Tasks[[#This Row],[_LeafFcstFinish]],WORKDAY.INTL(Tasks[[#This Row],[_LeafFcstFinish]],Tasks[[#This Row],[_AlapShift]],WorkWeek,Holidays)))</f>
        <v/>
      </c>
      <c r="DJ164" s="101" t="str">
        <f aca="false">IF(Tasks[[#This Row],[Task Name]]="","",IF(Tasks[[#This Row],[_IsSummary]],MIN(INDEX(Tasks[_ShownCalcStart],Tasks[[#This Row],[_Row]]+1):INDEX(Tasks[_ShownCalcStart],Tasks[[#This Row],[_Row]]+Tasks[[#This Row],[_Descendants]])),Tasks[[#This Row],[_ShownCalcStart]]))</f>
        <v/>
      </c>
      <c r="DK164" s="101" t="str">
        <f aca="false">IF(Tasks[[#This Row],[Task Name]]="","",IF(Tasks[[#This Row],[_IsSummary]],MAX(INDEX(Tasks[_ShownCalcFinish],Tasks[[#This Row],[_Row]]+1):INDEX(Tasks[_ShownCalcFinish],Tasks[[#This Row],[_Row]]+Tasks[[#This Row],[_Descendants]])),Tasks[[#This Row],[_ShownCalcFinish]]))</f>
        <v/>
      </c>
      <c r="D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4" s="41" t="n">
        <f aca="false">IF(AND(Tasks[[#This Row],[_IsLeaf]]=1,Tasks[[#This Row],[_LeafTotalWork]]&gt;0),NETWORKDAYS.INTL(ProjectStart,Tasks[[#This Row],[_ShownFcstStart]],WorkWeek,Holidays),0)</f>
        <v>0</v>
      </c>
      <c r="DY164" s="41" t="n">
        <f aca="false">IF(AND(Tasks[[#This Row],[_IsLeaf]]=1,Tasks[[#This Row],[_LeafTotalWork]]&gt;0),MAX(Tasks[[#This Row],[_StartWorkday]],NETWORKDAYS.INTL(ProjectStart,Tasks[[#This Row],[_ShownFcstFinish]],WorkWeek,Holidays)),0)</f>
        <v>0</v>
      </c>
      <c r="DZ164" s="41" t="n">
        <f aca="false">IF(AND(Tasks[[#This Row],[_IsLeaf]]=1,Tasks[[#This Row],[_LeafTotalWork]]&gt;0),Tasks[[#This Row],[_LeafWork]]/(Tasks[[#This Row],[_FinishWorkday]]-Tasks[[#This Row],[_StartWorkday]]+1),0)</f>
        <v>0</v>
      </c>
      <c r="EA164" s="41" t="n">
        <f aca="false">Tasks[[#This Row],[_WorkPerWorkday]]*(Tasks[[#This Row],[_StartWorkday]]-1)</f>
        <v>-0</v>
      </c>
      <c r="EB164" s="41" t="n">
        <f aca="false">IF(Tasks[[#This Row],[_IsLeaf]]=1,MAX(N(Tasks[[#This Row],[Duration]]),0.1),0)</f>
        <v>0</v>
      </c>
      <c r="EC164" s="41" t="n">
        <f aca="false">Tasks[[#This Row],[_WeightDur]]*Tasks[[#This Row],[_LeafProgress]]</f>
        <v>0</v>
      </c>
      <c r="ED1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4" s="41" t="str">
        <f aca="false">IF(AND(Tasks[[#This Row],[_IsLeaf]]=1,N(Tasks[[#This Row],[Duration]])=0,Tasks[[#This Row],[_LeafProgress]]&lt;1),Tasks[[#This Row],[_ShownFcstFinish]]+Tasks[[#This Row],[_Row]]/100000,"")</f>
        <v/>
      </c>
      <c r="EF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4" s="41" t="n">
        <f aca="false">IF(NOT(Tasks[[#This Row],[_IsLeaf]]=1),0,IF(Tasks[[#This Row],[Baseline Cost]]="",Tasks[[#This Row],[_LeafTotalCost]],N(Tasks[[#This Row],[Baseline Cost]])))</f>
        <v>0</v>
      </c>
      <c r="EH164" s="41" t="n">
        <f aca="false">Tasks[[#This Row],[_LeafBudget]]*Tasks[[#This Row],[_PlannedPct]]</f>
        <v>0</v>
      </c>
      <c r="EI164" s="41" t="n">
        <f aca="false">Tasks[[#This Row],[_LeafBudget]]*Tasks[[#This Row],[_LeafProgress]]</f>
        <v>0</v>
      </c>
      <c r="EJ164" s="41" t="n">
        <f aca="false">IF(NOT(Tasks[[#This Row],[_IsLeaf]]=1),0,IF(Tasks[[#This Row],[Actual Cost]]="",Tasks[[#This Row],[_LeafTotalCost]]*Tasks[[#This Row],[_LeafProgress]],N(Tasks[[#This Row],[Actual Cost]])))</f>
        <v>0</v>
      </c>
      <c r="EK164" s="41" t="str">
        <f aca="false">IF(Tasks[[#This Row],[Task Name]]="","",LEFT(Tasks[[#This Row],[WBS]],FIND(".",Tasks[[#This Row],[WBS]]&amp;".")-1))</f>
        <v/>
      </c>
      <c r="EL164" s="41" t="str">
        <f aca="false">IF(AND(Tasks[[#This Row],[Task Name]]&lt;&gt;"",Tasks[[#This Row],[_Level]]=1),Tasks[[#This Row],[_Row]],"")</f>
        <v/>
      </c>
      <c r="EM164" s="41" t="str">
        <f aca="false">IF(AND(Tasks[[#This Row],[_IsLeaf]]=1,N(Tasks[[#This Row],[Duration]])=0),Tasks[[#This Row],[Planned Finish]]+Tasks[[#This Row],[_Row]]/100000,"")</f>
        <v/>
      </c>
      <c r="EN164" s="41" t="str">
        <f aca="false">IF(AND(Tasks[[#This Row],[_IsLeaf]]=1,Tasks[[#This Row],[_LeafProgress]]&lt;1,OR(N(Tasks[[#This Row],[Finish Var]])&gt;0,Tasks[[#This Row],[Status]]="Late Start")),MAX(0,Tasks[[#This Row],[Finish Var]])+1-Tasks[[#This Row],[_Row]]/1000000,"")</f>
        <v/>
      </c>
      <c r="EO164" s="41" t="str">
        <f aca="false">IF(AND(Tasks[[#This Row],[_IsLeaf]]=1,N(Tasks[[#This Row],[Actual Start]])=0,Tasks[[#This Row],[_ShownFcstStart]]&gt;=StatusDate,Tasks[[#This Row],[_ShownFcstStart]]&lt;=LookaheadEnd),Tasks[[#This Row],[_ShownFcstStart]]+Tasks[[#This Row],[_Row]]/100000,"")</f>
        <v/>
      </c>
      <c r="EP164" s="41" t="str">
        <f aca="false">IF(AND(Tasks[[#This Row],[_IsLeaf]]=1,Tasks[[#This Row],[_LeafProgress]]&lt;1,Tasks[[#This Row],[_ShownFcstFinish]]&gt;=StatusDate,Tasks[[#This Row],[_ShownFcstFinish]]&lt;=LookaheadEnd),Tasks[[#This Row],[_ShownFcstFinish]]+Tasks[[#This Row],[_Row]]/100000,"")</f>
        <v/>
      </c>
      <c r="EQ164" s="41" t="str">
        <f aca="false">IF(Tasks[[#This Row],[_LeafCritical]],Tasks[[#This Row],[_ShownFcstStart]]+Tasks[[#This Row],[_Row]]/100000,"")</f>
        <v/>
      </c>
      <c r="ER164" s="41" t="n">
        <f aca="false">Tasks[[#This Row],[_LeafWork]]*Tasks[[#This Row],[_LeafProgress]]</f>
        <v>0</v>
      </c>
      <c r="ES164" s="101" t="str">
        <f aca="false">IF(AND(Tasks[[#This Row],[_IsLeaf]]=1,Tasks[[#This Row],[_LeafProgress]]&gt;=1),IF(N(Tasks[[#This Row],[Actual Finish]])&gt;0,Tasks[[#This Row],[Actual Finish]],Tasks[[#This Row],[_ShownFcstFinish]]),"")</f>
        <v/>
      </c>
      <c r="ET164" s="41" t="n">
        <f aca="false">IF(Tasks[[#This Row],[_IsLeaf]]=1,N(Tasks[[#This Row],[Story Points]]),0)</f>
        <v>0</v>
      </c>
      <c r="EU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29"/>
      <c r="O165" s="29"/>
      <c r="P165" s="29"/>
      <c r="Q165" s="29"/>
      <c r="R165" s="29"/>
      <c r="S165" s="29"/>
      <c r="T165" s="30"/>
      <c r="U165" s="75"/>
      <c r="V165" s="75"/>
      <c r="W165" s="25" t="str">
        <f aca="false">IF(Tasks[[#This Row],[Task Name]]="","",IF(N(Tasks[[#This Row],[Baseline Start]])&gt;0,Tasks[[#This Row],[Baseline Start]],Tasks[[#This Row],[_CalcStart]]))</f>
        <v/>
      </c>
      <c r="X165" s="25" t="str">
        <f aca="false">IF(Tasks[[#This Row],[Task Name]]="","",IF(N(Tasks[[#This Row],[Baseline Finish]])&gt;0,Tasks[[#This Row],[Baseline Finish]],Tasks[[#This Row],[_CalcFinish]]))</f>
        <v/>
      </c>
      <c r="Y165" s="75"/>
      <c r="Z165" s="75"/>
      <c r="AA165" s="25" t="str">
        <f aca="false">IF(Tasks[[#This Row],[Task Name]]="","",IF(Tasks[[#This Row],[_IsSummary]],MIN(INDEX(Tasks[_ShownFcstStart],Tasks[[#This Row],[_Row]]+1):INDEX(Tasks[_ShownFcstStart],Tasks[[#This Row],[_Row]]+Tasks[[#This Row],[_Descendants]])),Tasks[[#This Row],[_ShownFcstStart]]))</f>
        <v/>
      </c>
      <c r="AB165" s="25" t="str">
        <f aca="false">IF(Tasks[[#This Row],[Task Name]]="","",IF(Tasks[[#This Row],[_IsSummary]],MAX(INDEX(Tasks[_ShownFcstFinish],Tasks[[#This Row],[_Row]]+1):INDEX(Tasks[_ShownFcstFinish],Tasks[[#This Row],[_Row]]+Tasks[[#This Row],[_Descendants]])),Tasks[[#This Row],[_ShownFcstFinish]]))</f>
        <v/>
      </c>
      <c r="AC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5" s="25" t="str">
        <f aca="false">IF(Tasks[[#This Row],[Task Name]]="","",IF(Tasks[[#This Row],[_IsSummary]],MIN(INDEX(Tasks[_LeafLateStart],Tasks[[#This Row],[_Row]]+1):INDEX(Tasks[_LeafLateStart],Tasks[[#This Row],[_Row]]+Tasks[[#This Row],[_Descendants]])),Tasks[[#This Row],[_LeafLateStart]]))</f>
        <v/>
      </c>
      <c r="AF165" s="25" t="str">
        <f aca="false">IF(Tasks[[#This Row],[Task Name]]="","",IF(Tasks[[#This Row],[_IsSummary]],MAX(INDEX(Tasks[_LeafLateFinish],Tasks[[#This Row],[_Row]]+1):INDEX(Tasks[_LeafLateFinish],Tasks[[#This Row],[_Row]]+Tasks[[#This Row],[_Descendants]])),Tasks[[#This Row],[_LeafLateFinish]]))</f>
        <v/>
      </c>
      <c r="AG165" s="28" t="str">
        <f aca="false">IF(Tasks[[#This Row],[Task Name]]="","",IF(Tasks[[#This Row],[_IsSummary]],MIN(INDEX(Tasks[_LeafTotalSlack],Tasks[[#This Row],[_Row]]+1):INDEX(Tasks[_LeafTotalSlack],Tasks[[#This Row],[_Row]]+Tasks[[#This Row],[_Descendants]])),Tasks[[#This Row],[_LeafTotalSlack]]))</f>
        <v/>
      </c>
      <c r="AH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5" s="28" t="str">
        <f aca="false">IF(Tasks[[#This Row],[Task Name]]="","",IF(IF(Tasks[[#This Row],[_IsSummary]],COUNTIF(INDEX(Tasks[_LeafCritical],Tasks[[#This Row],[_Row]]+1):INDEX(Tasks[_LeafCritical],Tasks[[#This Row],[_Row]]+Tasks[[#This Row],[_Descendants]]),TRUE())&gt;0,Tasks[[#This Row],[_LeafCritical]]),"Yes",""))</f>
        <v/>
      </c>
      <c r="AJ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5" s="89"/>
      <c r="AM1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5" s="28" t="str">
        <f aca="false">IF(Tasks[[#This Row],[Task Name]]="","",IF(Tasks[[#This Row],[Progress]]&gt;=1,"Complete",IF(OR(N(Tasks[[#This Row],[Actual Start]])&gt;0,Tasks[[#This Row],[Progress]]&gt;0),IF(Tasks[[#This Row],[Finish Var]]&gt;0,"Behind","In Progress"),IF(Tasks[[#This Row],[Planned Start]]&lt;StatusDate,"Late Start","Not Started"))))</f>
        <v/>
      </c>
      <c r="AO165" s="30"/>
      <c r="AP165" s="89"/>
      <c r="AQ1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5" s="96" t="str">
        <f aca="false">IF(Tasks[[#This Row],[Task Name]]="","",IF(Tasks[[#This Row],[_IsSummary]],SUM(INDEX(Tasks[_LeafTotalWork],Tasks[[#This Row],[_Row]]+1):INDEX(Tasks[_LeafTotalWork],Tasks[[#This Row],[_Row]]+Tasks[[#This Row],[_Descendants]])),Tasks[[#This Row],[_LeafTotalWork]]))</f>
        <v/>
      </c>
      <c r="AT165" s="97" t="str">
        <f aca="false">IF(Tasks[[#This Row],[Task Name]]="","",IF(Tasks[[#This Row],[_IsSummary]],SUM(INDEX(Tasks[_LeafTotalCost],Tasks[[#This Row],[_Row]]+1):INDEX(Tasks[_LeafTotalCost],Tasks[[#This Row],[_Row]]+Tasks[[#This Row],[_Descendants]])),Tasks[[#This Row],[_LeafTotalCost]]))</f>
        <v/>
      </c>
      <c r="AU165" s="98"/>
      <c r="AV165" s="29"/>
      <c r="AW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5" s="83"/>
      <c r="AY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5" s="30"/>
      <c r="BA165" s="25" t="str">
        <f aca="false">IF(Tasks[[#This Row],[Task Name]]="","",Tasks[[#This Row],[Forecast Start]])</f>
        <v/>
      </c>
      <c r="BB165" s="25" t="str">
        <f aca="false">IF(Tasks[[#This Row],[Task Name]]="","",Tasks[[#This Row],[Forecast Finish]])</f>
        <v/>
      </c>
      <c r="BC165" s="28" t="str">
        <f aca="false">IF(Tasks[[#This Row],[Task Name]]="","",IF(Tasks[[#This Row],[_IsSummary]],NETWORKDAYS.INTL(Tasks[[#This Row],[Forecast Start]],Tasks[[#This Row],[Forecast Finish]],WorkWeek,Holidays),N(Tasks[[#This Row],[Duration]])))</f>
        <v/>
      </c>
      <c r="BD165" s="96" t="str">
        <f aca="false">IF(Tasks[[#This Row],[Task Name]]="","",Tasks[[#This Row],[Work]])</f>
        <v/>
      </c>
      <c r="BE165" s="97" t="str">
        <f aca="false">IF(Tasks[[#This Row],[Task Name]]="","",Tasks[[#This Row],[Cost]])</f>
        <v/>
      </c>
      <c r="BF165" s="75"/>
      <c r="BG165" s="75"/>
      <c r="BH165" s="29"/>
      <c r="BI165" s="99"/>
      <c r="BJ165" s="98"/>
      <c r="BK165" s="28" t="str">
        <f aca="false">IF(OR(Tasks[[#This Row],[Task Name]]="",Tasks[[#This Row],[Baseline Duration]]=""),"",Tasks[[#This Row],[BL Source Duration]]-N(Tasks[[#This Row],[Baseline Duration]]))</f>
        <v/>
      </c>
      <c r="BL165" s="96" t="str">
        <f aca="false">IF(OR(Tasks[[#This Row],[Task Name]]="",Tasks[[#This Row],[Baseline Work]]=""),"",Tasks[[#This Row],[Work]]-N(Tasks[[#This Row],[Baseline Work]]))</f>
        <v/>
      </c>
      <c r="BM165" s="97" t="str">
        <f aca="false">IF(OR(Tasks[[#This Row],[Task Name]]="",Tasks[[#This Row],[Baseline Cost]]=""),"",Tasks[[#This Row],[Cost]]-N(Tasks[[#This Row],[Baseline Cost]]))</f>
        <v/>
      </c>
      <c r="BN165" s="97" t="str">
        <f aca="false">IF(Tasks[[#This Row],[Task Name]]="","",IF(Tasks[[#This Row],[_IsSummary]],SUM(INDEX(Tasks[_LeafBudget],Tasks[[#This Row],[_Row]]+1):INDEX(Tasks[_LeafBudget],Tasks[[#This Row],[_Row]]+Tasks[[#This Row],[_Descendants]])),Tasks[[#This Row],[_LeafBudget]]))</f>
        <v/>
      </c>
      <c r="BO165" s="97" t="str">
        <f aca="false">IF(Tasks[[#This Row],[Task Name]]="","",IF(Tasks[[#This Row],[_IsSummary]],SUM(INDEX(Tasks[_LeafPV],Tasks[[#This Row],[_Row]]+1):INDEX(Tasks[_LeafPV],Tasks[[#This Row],[_Row]]+Tasks[[#This Row],[_Descendants]])),Tasks[[#This Row],[_LeafPV]]))</f>
        <v/>
      </c>
      <c r="BP165" s="97" t="str">
        <f aca="false">IF(Tasks[[#This Row],[Task Name]]="","",IF(Tasks[[#This Row],[_IsSummary]],SUM(INDEX(Tasks[_LeafEV],Tasks[[#This Row],[_Row]]+1):INDEX(Tasks[_LeafEV],Tasks[[#This Row],[_Row]]+Tasks[[#This Row],[_Descendants]])),Tasks[[#This Row],[_LeafEV]]))</f>
        <v/>
      </c>
      <c r="BQ165" s="97" t="str">
        <f aca="false">IF(Tasks[[#This Row],[Task Name]]="","",IF(Tasks[[#This Row],[_IsSummary]],SUM(INDEX(Tasks[_LeafAC],Tasks[[#This Row],[_Row]]+1):INDEX(Tasks[_LeafAC],Tasks[[#This Row],[_Row]]+Tasks[[#This Row],[_Descendants]])),Tasks[[#This Row],[_LeafAC]]))</f>
        <v/>
      </c>
      <c r="BR165" s="41" t="str">
        <f aca="false">IF(Tasks[[#This Row],[Task Name]]="","",MAX(1,N(Tasks[[#This Row],[Level]])))</f>
        <v/>
      </c>
      <c r="BS165" s="41" t="n">
        <f aca="false">ROW()-ROW(Tasks[[#Headers],[ID]])</f>
        <v>160</v>
      </c>
      <c r="BT165" s="41" t="n">
        <f aca="false">IF(OR(Tasks[[#This Row],[Task Name]]="",Tasks[[#This Row],[_Level]]&lt;=1),0,IFERROR(LOOKUP(2,1/(Tasks[[#Headers],[_Level]]:Tasks[[#This Row],[_Level]]=Tasks[[#This Row],[_Level]]-1),ROW(Tasks[[#Headers],[_Level]]:Tasks[[#This Row],[_Level]])),0))</f>
        <v>0</v>
      </c>
      <c r="BU165" s="41" t="n">
        <f aca="false">IFERROR(N(INDEX(Tasks[_Level],Tasks[[#This Row],[_Row]]+1)),0)</f>
        <v>0</v>
      </c>
      <c r="BV165" s="100" t="b">
        <f aca="false">AND(Tasks[[#This Row],[Task Name]]&lt;&gt;"",Tasks[[#This Row],[_NextLevel]]&gt;Tasks[[#This Row],[_Level]])</f>
        <v>0</v>
      </c>
      <c r="BW165" s="41" t="n">
        <f aca="false">IF(Tasks[[#This Row],[_IsSummary]],COUNTIF(Tasks[WBS],Tasks[[#This Row],[WBS]]&amp;".*"),0)</f>
        <v>0</v>
      </c>
      <c r="BX165" s="41" t="n">
        <f aca="false">IF(AND(Tasks[[#This Row],[Task Name]]&lt;&gt;"",NOT(Tasks[[#This Row],[_IsSummary]])),1,0)</f>
        <v>0</v>
      </c>
      <c r="BY165" s="41" t="n">
        <f aca="false">IF(N(Tasks[[#This Row],[Pred1 UID]])=0,0,IFERROR(MATCH(Tasks[[#This Row],[Pred1 UID]],Tasks[UID],0),-1))</f>
        <v>0</v>
      </c>
      <c r="BZ165" s="41" t="n">
        <f aca="false">IF(N(Tasks[[#This Row],[Pred2 UID]])=0,0,IFERROR(MATCH(Tasks[[#This Row],[Pred2 UID]],Tasks[UID],0),-1))</f>
        <v>0</v>
      </c>
      <c r="CA165" s="41" t="n">
        <f aca="false">IF(N(Tasks[[#This Row],[Pred3 UID]])=0,0,IFERROR(MATCH(Tasks[[#This Row],[Pred3 UID]],Tasks[UID],0),-1))</f>
        <v>0</v>
      </c>
      <c r="CB165" s="41" t="n">
        <f aca="false">IF(N(Tasks[[#This Row],[Pred4 UID]])=0,0,IFERROR(MATCH(Tasks[[#This Row],[Pred4 UID]],Tasks[UID],0),-1))</f>
        <v>0</v>
      </c>
      <c r="CC1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5" s="101" t="n">
        <f aca="false">IF(OR(Tasks[[#This Row],[_ConstraintCode]]=2,Tasks[[#This Row],[_ConstraintCode]]=3,Tasks[[#This Row],[_ConstraintCode]]=4,Tasks[[#This Row],[_ConstraintCode]]=6),Tasks[[#This Row],[_ConstraintStart]],0)</f>
        <v>0</v>
      </c>
      <c r="CF165" s="101" t="n">
        <f aca="false">IF(OR(Tasks[[#This Row],[_ConstraintCode]]=2,Tasks[[#This Row],[_ConstraintCode]]=3,Tasks[[#This Row],[_ConstraintCode]]=5,Tasks[[#This Row],[_ConstraintCode]]=7),Tasks[[#This Row],[_ConstraintStart]],2958465)</f>
        <v>2958465</v>
      </c>
      <c r="CG16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5" s="101" t="str">
        <f aca="false">IF(NOT(Tasks[[#This Row],[_IsLeaf]]=1),"",IF(N(Tasks[[#This Row],[Duration]])&lt;=0,Tasks[[#This Row],[_LeafCalcStart]],WORKDAY.INTL(Tasks[[#This Row],[_LeafCalcStart]],Tasks[[#This Row],[Duration]]-1,WorkWeek,Holidays)))</f>
        <v/>
      </c>
      <c r="CI16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5" s="41" t="n">
        <f aca="false">IF(NOT(Tasks[[#This Row],[_IsLeaf]]=1),0,IF(N(Tasks[[#This Row],[Actual Finish]])&gt;0,1,MIN(1,N(Tasks[[#This Row],[% Complete]]))))</f>
        <v>0</v>
      </c>
      <c r="CL165" s="41" t="n">
        <f aca="false">IF(OR(NOT(Tasks[[#This Row],[_IsLeaf]]=1),Tasks[[#This Row],[Resource]]=""),0,N(Tasks[[#This Row],[Duration]])*HoursPerDay*IF(Tasks[[#This Row],[Units]]="",DefaultUnits,Tasks[[#This Row],[Units]]))</f>
        <v>0</v>
      </c>
      <c r="CM165" s="41" t="n">
        <f aca="false">IF(Tasks[[#This Row],[_LeafWork]]=0,0,Tasks[[#This Row],[_LeafWork]]*IFERROR(INDEX(res_Rate,MATCH(Tasks[[#This Row],[Resource]],res_Name,0)),0))</f>
        <v>0</v>
      </c>
      <c r="CN165" s="41" t="n">
        <f aca="false">Tasks[[#This Row],[_LeafWork]]+IF(Tasks[[#This Row],[_IsLeaf]]=1,SUMIFS(asg_Work,asg_TaskUID,Tasks[[#This Row],[UID]],asg_Valid,1),0)</f>
        <v>0</v>
      </c>
      <c r="CO165" s="41" t="n">
        <f aca="false">Tasks[[#This Row],[_LeafCost]]+IF(Tasks[[#This Row],[_IsLeaf]]=1,SUMIFS(asg_Cost,asg_TaskUID,Tasks[[#This Row],[UID]],asg_Valid,1),0)</f>
        <v>0</v>
      </c>
      <c r="CP165" s="41" t="n">
        <f aca="false">IF(Tasks[[#This Row],[_LeafTotalCost]]=0,Tasks[[#This Row],[_LeafAC]],Tasks[[#This Row],[_LeafAC]]*Tasks[[#This Row],[_LeafCost]]/Tasks[[#This Row],[_LeafTotalCost]])</f>
        <v>0</v>
      </c>
      <c r="CQ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5" s="41" t="n">
        <f aca="false">IF(NOT(Tasks[[#This Row],[_IsLeaf]]=1),0,MAX(_xlfn.MAXIFS(Tasks[_Row],Tasks[Pred1 UID],Tasks[[#This Row],[UID]]),_xlfn.MAXIFS(Tasks[_Row],Tasks[Pred2 UID],Tasks[[#This Row],[UID]]),_xlfn.MAXIFS(Tasks[_Row],Tasks[Pred3 UID],Tasks[[#This Row],[UID]]),_xlfn.MAXIFS(Tasks[_Row],Tasks[Pred4 UID],Tasks[[#This Row],[UID]])))</f>
        <v>0</v>
      </c>
      <c r="CZ1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5" s="101" t="str">
        <f aca="false">IF(NOT(Tasks[[#This Row],[_IsLeaf]]=1),"",IF(N(Tasks[[#This Row],[Duration]])&lt;=0,Tasks[[#This Row],[_LeafLateFinish]],WORKDAY.INTL(Tasks[[#This Row],[_LeafLateFinish]],-(Tasks[[#This Row],[Duration]]-1),WorkWeek,Holidays)))</f>
        <v/>
      </c>
      <c r="DC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5" s="100" t="b">
        <f aca="false">AND(Tasks[[#This Row],[_IsLeaf]]=1,Tasks[[#This Row],[_LeafProgress]]&lt;1,N(Tasks[[#This Row],[_LeafTotalSlack]])&lt;=CriticalSlackDays)</f>
        <v>0</v>
      </c>
      <c r="DE165" s="41" t="n">
        <f aca="false">IF(AND(Tasks[[#This Row],[_IsLeaf]]=1,Tasks[[#This Row],[_ConstraintCode]]=1,Tasks[[#This Row],[Mode]]&lt;&gt;"Manual",N(Tasks[[#This Row],[Actual Start]])=0),MAX(0,N(Tasks[[#This Row],[Free Slack]])),0)</f>
        <v>0</v>
      </c>
      <c r="DF165" s="101" t="str">
        <f aca="false">IF(NOT(Tasks[[#This Row],[_IsLeaf]]=1),"",IF(Tasks[[#This Row],[_AlapShift]]=0,Tasks[[#This Row],[_LeafCalcStart]],WORKDAY.INTL(Tasks[[#This Row],[_LeafCalcStart]],Tasks[[#This Row],[_AlapShift]],WorkWeek,Holidays)))</f>
        <v/>
      </c>
      <c r="DG165" s="101" t="str">
        <f aca="false">IF(NOT(Tasks[[#This Row],[_IsLeaf]]=1),"",IF(Tasks[[#This Row],[_AlapShift]]=0,Tasks[[#This Row],[_LeafCalcFinish]],WORKDAY.INTL(Tasks[[#This Row],[_LeafCalcFinish]],Tasks[[#This Row],[_AlapShift]],WorkWeek,Holidays)))</f>
        <v/>
      </c>
      <c r="DH165" s="101" t="str">
        <f aca="false">IF(NOT(Tasks[[#This Row],[_IsLeaf]]=1),"",IF(Tasks[[#This Row],[_AlapShift]]=0,Tasks[[#This Row],[_LeafFcstStart]],WORKDAY.INTL(Tasks[[#This Row],[_LeafFcstStart]],Tasks[[#This Row],[_AlapShift]],WorkWeek,Holidays)))</f>
        <v/>
      </c>
      <c r="DI165" s="101" t="str">
        <f aca="false">IF(NOT(Tasks[[#This Row],[_IsLeaf]]=1),"",IF(Tasks[[#This Row],[_AlapShift]]=0,Tasks[[#This Row],[_LeafFcstFinish]],WORKDAY.INTL(Tasks[[#This Row],[_LeafFcstFinish]],Tasks[[#This Row],[_AlapShift]],WorkWeek,Holidays)))</f>
        <v/>
      </c>
      <c r="DJ165" s="101" t="str">
        <f aca="false">IF(Tasks[[#This Row],[Task Name]]="","",IF(Tasks[[#This Row],[_IsSummary]],MIN(INDEX(Tasks[_ShownCalcStart],Tasks[[#This Row],[_Row]]+1):INDEX(Tasks[_ShownCalcStart],Tasks[[#This Row],[_Row]]+Tasks[[#This Row],[_Descendants]])),Tasks[[#This Row],[_ShownCalcStart]]))</f>
        <v/>
      </c>
      <c r="DK165" s="101" t="str">
        <f aca="false">IF(Tasks[[#This Row],[Task Name]]="","",IF(Tasks[[#This Row],[_IsSummary]],MAX(INDEX(Tasks[_ShownCalcFinish],Tasks[[#This Row],[_Row]]+1):INDEX(Tasks[_ShownCalcFinish],Tasks[[#This Row],[_Row]]+Tasks[[#This Row],[_Descendants]])),Tasks[[#This Row],[_ShownCalcFinish]]))</f>
        <v/>
      </c>
      <c r="D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5" s="41" t="n">
        <f aca="false">IF(AND(Tasks[[#This Row],[_IsLeaf]]=1,Tasks[[#This Row],[_LeafTotalWork]]&gt;0),NETWORKDAYS.INTL(ProjectStart,Tasks[[#This Row],[_ShownFcstStart]],WorkWeek,Holidays),0)</f>
        <v>0</v>
      </c>
      <c r="DY165" s="41" t="n">
        <f aca="false">IF(AND(Tasks[[#This Row],[_IsLeaf]]=1,Tasks[[#This Row],[_LeafTotalWork]]&gt;0),MAX(Tasks[[#This Row],[_StartWorkday]],NETWORKDAYS.INTL(ProjectStart,Tasks[[#This Row],[_ShownFcstFinish]],WorkWeek,Holidays)),0)</f>
        <v>0</v>
      </c>
      <c r="DZ165" s="41" t="n">
        <f aca="false">IF(AND(Tasks[[#This Row],[_IsLeaf]]=1,Tasks[[#This Row],[_LeafTotalWork]]&gt;0),Tasks[[#This Row],[_LeafWork]]/(Tasks[[#This Row],[_FinishWorkday]]-Tasks[[#This Row],[_StartWorkday]]+1),0)</f>
        <v>0</v>
      </c>
      <c r="EA165" s="41" t="n">
        <f aca="false">Tasks[[#This Row],[_WorkPerWorkday]]*(Tasks[[#This Row],[_StartWorkday]]-1)</f>
        <v>-0</v>
      </c>
      <c r="EB165" s="41" t="n">
        <f aca="false">IF(Tasks[[#This Row],[_IsLeaf]]=1,MAX(N(Tasks[[#This Row],[Duration]]),0.1),0)</f>
        <v>0</v>
      </c>
      <c r="EC165" s="41" t="n">
        <f aca="false">Tasks[[#This Row],[_WeightDur]]*Tasks[[#This Row],[_LeafProgress]]</f>
        <v>0</v>
      </c>
      <c r="ED1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5" s="41" t="str">
        <f aca="false">IF(AND(Tasks[[#This Row],[_IsLeaf]]=1,N(Tasks[[#This Row],[Duration]])=0,Tasks[[#This Row],[_LeafProgress]]&lt;1),Tasks[[#This Row],[_ShownFcstFinish]]+Tasks[[#This Row],[_Row]]/100000,"")</f>
        <v/>
      </c>
      <c r="EF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5" s="41" t="n">
        <f aca="false">IF(NOT(Tasks[[#This Row],[_IsLeaf]]=1),0,IF(Tasks[[#This Row],[Baseline Cost]]="",Tasks[[#This Row],[_LeafTotalCost]],N(Tasks[[#This Row],[Baseline Cost]])))</f>
        <v>0</v>
      </c>
      <c r="EH165" s="41" t="n">
        <f aca="false">Tasks[[#This Row],[_LeafBudget]]*Tasks[[#This Row],[_PlannedPct]]</f>
        <v>0</v>
      </c>
      <c r="EI165" s="41" t="n">
        <f aca="false">Tasks[[#This Row],[_LeafBudget]]*Tasks[[#This Row],[_LeafProgress]]</f>
        <v>0</v>
      </c>
      <c r="EJ165" s="41" t="n">
        <f aca="false">IF(NOT(Tasks[[#This Row],[_IsLeaf]]=1),0,IF(Tasks[[#This Row],[Actual Cost]]="",Tasks[[#This Row],[_LeafTotalCost]]*Tasks[[#This Row],[_LeafProgress]],N(Tasks[[#This Row],[Actual Cost]])))</f>
        <v>0</v>
      </c>
      <c r="EK165" s="41" t="str">
        <f aca="false">IF(Tasks[[#This Row],[Task Name]]="","",LEFT(Tasks[[#This Row],[WBS]],FIND(".",Tasks[[#This Row],[WBS]]&amp;".")-1))</f>
        <v/>
      </c>
      <c r="EL165" s="41" t="str">
        <f aca="false">IF(AND(Tasks[[#This Row],[Task Name]]&lt;&gt;"",Tasks[[#This Row],[_Level]]=1),Tasks[[#This Row],[_Row]],"")</f>
        <v/>
      </c>
      <c r="EM165" s="41" t="str">
        <f aca="false">IF(AND(Tasks[[#This Row],[_IsLeaf]]=1,N(Tasks[[#This Row],[Duration]])=0),Tasks[[#This Row],[Planned Finish]]+Tasks[[#This Row],[_Row]]/100000,"")</f>
        <v/>
      </c>
      <c r="EN165" s="41" t="str">
        <f aca="false">IF(AND(Tasks[[#This Row],[_IsLeaf]]=1,Tasks[[#This Row],[_LeafProgress]]&lt;1,OR(N(Tasks[[#This Row],[Finish Var]])&gt;0,Tasks[[#This Row],[Status]]="Late Start")),MAX(0,Tasks[[#This Row],[Finish Var]])+1-Tasks[[#This Row],[_Row]]/1000000,"")</f>
        <v/>
      </c>
      <c r="EO165" s="41" t="str">
        <f aca="false">IF(AND(Tasks[[#This Row],[_IsLeaf]]=1,N(Tasks[[#This Row],[Actual Start]])=0,Tasks[[#This Row],[_ShownFcstStart]]&gt;=StatusDate,Tasks[[#This Row],[_ShownFcstStart]]&lt;=LookaheadEnd),Tasks[[#This Row],[_ShownFcstStart]]+Tasks[[#This Row],[_Row]]/100000,"")</f>
        <v/>
      </c>
      <c r="EP165" s="41" t="str">
        <f aca="false">IF(AND(Tasks[[#This Row],[_IsLeaf]]=1,Tasks[[#This Row],[_LeafProgress]]&lt;1,Tasks[[#This Row],[_ShownFcstFinish]]&gt;=StatusDate,Tasks[[#This Row],[_ShownFcstFinish]]&lt;=LookaheadEnd),Tasks[[#This Row],[_ShownFcstFinish]]+Tasks[[#This Row],[_Row]]/100000,"")</f>
        <v/>
      </c>
      <c r="EQ165" s="41" t="str">
        <f aca="false">IF(Tasks[[#This Row],[_LeafCritical]],Tasks[[#This Row],[_ShownFcstStart]]+Tasks[[#This Row],[_Row]]/100000,"")</f>
        <v/>
      </c>
      <c r="ER165" s="41" t="n">
        <f aca="false">Tasks[[#This Row],[_LeafWork]]*Tasks[[#This Row],[_LeafProgress]]</f>
        <v>0</v>
      </c>
      <c r="ES165" s="101" t="str">
        <f aca="false">IF(AND(Tasks[[#This Row],[_IsLeaf]]=1,Tasks[[#This Row],[_LeafProgress]]&gt;=1),IF(N(Tasks[[#This Row],[Actual Finish]])&gt;0,Tasks[[#This Row],[Actual Finish]],Tasks[[#This Row],[_ShownFcstFinish]]),"")</f>
        <v/>
      </c>
      <c r="ET165" s="41" t="n">
        <f aca="false">IF(Tasks[[#This Row],[_IsLeaf]]=1,N(Tasks[[#This Row],[Story Points]]),0)</f>
        <v>0</v>
      </c>
      <c r="EU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29"/>
      <c r="O166" s="29"/>
      <c r="P166" s="29"/>
      <c r="Q166" s="29"/>
      <c r="R166" s="29"/>
      <c r="S166" s="29"/>
      <c r="T166" s="30"/>
      <c r="U166" s="75"/>
      <c r="V166" s="75"/>
      <c r="W166" s="25" t="str">
        <f aca="false">IF(Tasks[[#This Row],[Task Name]]="","",IF(N(Tasks[[#This Row],[Baseline Start]])&gt;0,Tasks[[#This Row],[Baseline Start]],Tasks[[#This Row],[_CalcStart]]))</f>
        <v/>
      </c>
      <c r="X166" s="25" t="str">
        <f aca="false">IF(Tasks[[#This Row],[Task Name]]="","",IF(N(Tasks[[#This Row],[Baseline Finish]])&gt;0,Tasks[[#This Row],[Baseline Finish]],Tasks[[#This Row],[_CalcFinish]]))</f>
        <v/>
      </c>
      <c r="Y166" s="75"/>
      <c r="Z166" s="75"/>
      <c r="AA166" s="25" t="str">
        <f aca="false">IF(Tasks[[#This Row],[Task Name]]="","",IF(Tasks[[#This Row],[_IsSummary]],MIN(INDEX(Tasks[_ShownFcstStart],Tasks[[#This Row],[_Row]]+1):INDEX(Tasks[_ShownFcstStart],Tasks[[#This Row],[_Row]]+Tasks[[#This Row],[_Descendants]])),Tasks[[#This Row],[_ShownFcstStart]]))</f>
        <v/>
      </c>
      <c r="AB166" s="25" t="str">
        <f aca="false">IF(Tasks[[#This Row],[Task Name]]="","",IF(Tasks[[#This Row],[_IsSummary]],MAX(INDEX(Tasks[_ShownFcstFinish],Tasks[[#This Row],[_Row]]+1):INDEX(Tasks[_ShownFcstFinish],Tasks[[#This Row],[_Row]]+Tasks[[#This Row],[_Descendants]])),Tasks[[#This Row],[_ShownFcstFinish]]))</f>
        <v/>
      </c>
      <c r="AC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6" s="25" t="str">
        <f aca="false">IF(Tasks[[#This Row],[Task Name]]="","",IF(Tasks[[#This Row],[_IsSummary]],MIN(INDEX(Tasks[_LeafLateStart],Tasks[[#This Row],[_Row]]+1):INDEX(Tasks[_LeafLateStart],Tasks[[#This Row],[_Row]]+Tasks[[#This Row],[_Descendants]])),Tasks[[#This Row],[_LeafLateStart]]))</f>
        <v/>
      </c>
      <c r="AF166" s="25" t="str">
        <f aca="false">IF(Tasks[[#This Row],[Task Name]]="","",IF(Tasks[[#This Row],[_IsSummary]],MAX(INDEX(Tasks[_LeafLateFinish],Tasks[[#This Row],[_Row]]+1):INDEX(Tasks[_LeafLateFinish],Tasks[[#This Row],[_Row]]+Tasks[[#This Row],[_Descendants]])),Tasks[[#This Row],[_LeafLateFinish]]))</f>
        <v/>
      </c>
      <c r="AG166" s="28" t="str">
        <f aca="false">IF(Tasks[[#This Row],[Task Name]]="","",IF(Tasks[[#This Row],[_IsSummary]],MIN(INDEX(Tasks[_LeafTotalSlack],Tasks[[#This Row],[_Row]]+1):INDEX(Tasks[_LeafTotalSlack],Tasks[[#This Row],[_Row]]+Tasks[[#This Row],[_Descendants]])),Tasks[[#This Row],[_LeafTotalSlack]]))</f>
        <v/>
      </c>
      <c r="AH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6" s="28" t="str">
        <f aca="false">IF(Tasks[[#This Row],[Task Name]]="","",IF(IF(Tasks[[#This Row],[_IsSummary]],COUNTIF(INDEX(Tasks[_LeafCritical],Tasks[[#This Row],[_Row]]+1):INDEX(Tasks[_LeafCritical],Tasks[[#This Row],[_Row]]+Tasks[[#This Row],[_Descendants]]),TRUE())&gt;0,Tasks[[#This Row],[_LeafCritical]]),"Yes",""))</f>
        <v/>
      </c>
      <c r="AJ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6" s="89"/>
      <c r="AM1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6" s="28" t="str">
        <f aca="false">IF(Tasks[[#This Row],[Task Name]]="","",IF(Tasks[[#This Row],[Progress]]&gt;=1,"Complete",IF(OR(N(Tasks[[#This Row],[Actual Start]])&gt;0,Tasks[[#This Row],[Progress]]&gt;0),IF(Tasks[[#This Row],[Finish Var]]&gt;0,"Behind","In Progress"),IF(Tasks[[#This Row],[Planned Start]]&lt;StatusDate,"Late Start","Not Started"))))</f>
        <v/>
      </c>
      <c r="AO166" s="30"/>
      <c r="AP166" s="89"/>
      <c r="AQ1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6" s="96" t="str">
        <f aca="false">IF(Tasks[[#This Row],[Task Name]]="","",IF(Tasks[[#This Row],[_IsSummary]],SUM(INDEX(Tasks[_LeafTotalWork],Tasks[[#This Row],[_Row]]+1):INDEX(Tasks[_LeafTotalWork],Tasks[[#This Row],[_Row]]+Tasks[[#This Row],[_Descendants]])),Tasks[[#This Row],[_LeafTotalWork]]))</f>
        <v/>
      </c>
      <c r="AT166" s="97" t="str">
        <f aca="false">IF(Tasks[[#This Row],[Task Name]]="","",IF(Tasks[[#This Row],[_IsSummary]],SUM(INDEX(Tasks[_LeafTotalCost],Tasks[[#This Row],[_Row]]+1):INDEX(Tasks[_LeafTotalCost],Tasks[[#This Row],[_Row]]+Tasks[[#This Row],[_Descendants]])),Tasks[[#This Row],[_LeafTotalCost]]))</f>
        <v/>
      </c>
      <c r="AU166" s="98"/>
      <c r="AV166" s="29"/>
      <c r="AW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6" s="83"/>
      <c r="AY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6" s="30"/>
      <c r="BA166" s="25" t="str">
        <f aca="false">IF(Tasks[[#This Row],[Task Name]]="","",Tasks[[#This Row],[Forecast Start]])</f>
        <v/>
      </c>
      <c r="BB166" s="25" t="str">
        <f aca="false">IF(Tasks[[#This Row],[Task Name]]="","",Tasks[[#This Row],[Forecast Finish]])</f>
        <v/>
      </c>
      <c r="BC166" s="28" t="str">
        <f aca="false">IF(Tasks[[#This Row],[Task Name]]="","",IF(Tasks[[#This Row],[_IsSummary]],NETWORKDAYS.INTL(Tasks[[#This Row],[Forecast Start]],Tasks[[#This Row],[Forecast Finish]],WorkWeek,Holidays),N(Tasks[[#This Row],[Duration]])))</f>
        <v/>
      </c>
      <c r="BD166" s="96" t="str">
        <f aca="false">IF(Tasks[[#This Row],[Task Name]]="","",Tasks[[#This Row],[Work]])</f>
        <v/>
      </c>
      <c r="BE166" s="97" t="str">
        <f aca="false">IF(Tasks[[#This Row],[Task Name]]="","",Tasks[[#This Row],[Cost]])</f>
        <v/>
      </c>
      <c r="BF166" s="75"/>
      <c r="BG166" s="75"/>
      <c r="BH166" s="29"/>
      <c r="BI166" s="99"/>
      <c r="BJ166" s="98"/>
      <c r="BK166" s="28" t="str">
        <f aca="false">IF(OR(Tasks[[#This Row],[Task Name]]="",Tasks[[#This Row],[Baseline Duration]]=""),"",Tasks[[#This Row],[BL Source Duration]]-N(Tasks[[#This Row],[Baseline Duration]]))</f>
        <v/>
      </c>
      <c r="BL166" s="96" t="str">
        <f aca="false">IF(OR(Tasks[[#This Row],[Task Name]]="",Tasks[[#This Row],[Baseline Work]]=""),"",Tasks[[#This Row],[Work]]-N(Tasks[[#This Row],[Baseline Work]]))</f>
        <v/>
      </c>
      <c r="BM166" s="97" t="str">
        <f aca="false">IF(OR(Tasks[[#This Row],[Task Name]]="",Tasks[[#This Row],[Baseline Cost]]=""),"",Tasks[[#This Row],[Cost]]-N(Tasks[[#This Row],[Baseline Cost]]))</f>
        <v/>
      </c>
      <c r="BN166" s="97" t="str">
        <f aca="false">IF(Tasks[[#This Row],[Task Name]]="","",IF(Tasks[[#This Row],[_IsSummary]],SUM(INDEX(Tasks[_LeafBudget],Tasks[[#This Row],[_Row]]+1):INDEX(Tasks[_LeafBudget],Tasks[[#This Row],[_Row]]+Tasks[[#This Row],[_Descendants]])),Tasks[[#This Row],[_LeafBudget]]))</f>
        <v/>
      </c>
      <c r="BO166" s="97" t="str">
        <f aca="false">IF(Tasks[[#This Row],[Task Name]]="","",IF(Tasks[[#This Row],[_IsSummary]],SUM(INDEX(Tasks[_LeafPV],Tasks[[#This Row],[_Row]]+1):INDEX(Tasks[_LeafPV],Tasks[[#This Row],[_Row]]+Tasks[[#This Row],[_Descendants]])),Tasks[[#This Row],[_LeafPV]]))</f>
        <v/>
      </c>
      <c r="BP166" s="97" t="str">
        <f aca="false">IF(Tasks[[#This Row],[Task Name]]="","",IF(Tasks[[#This Row],[_IsSummary]],SUM(INDEX(Tasks[_LeafEV],Tasks[[#This Row],[_Row]]+1):INDEX(Tasks[_LeafEV],Tasks[[#This Row],[_Row]]+Tasks[[#This Row],[_Descendants]])),Tasks[[#This Row],[_LeafEV]]))</f>
        <v/>
      </c>
      <c r="BQ166" s="97" t="str">
        <f aca="false">IF(Tasks[[#This Row],[Task Name]]="","",IF(Tasks[[#This Row],[_IsSummary]],SUM(INDEX(Tasks[_LeafAC],Tasks[[#This Row],[_Row]]+1):INDEX(Tasks[_LeafAC],Tasks[[#This Row],[_Row]]+Tasks[[#This Row],[_Descendants]])),Tasks[[#This Row],[_LeafAC]]))</f>
        <v/>
      </c>
      <c r="BR166" s="41" t="str">
        <f aca="false">IF(Tasks[[#This Row],[Task Name]]="","",MAX(1,N(Tasks[[#This Row],[Level]])))</f>
        <v/>
      </c>
      <c r="BS166" s="41" t="n">
        <f aca="false">ROW()-ROW(Tasks[[#Headers],[ID]])</f>
        <v>161</v>
      </c>
      <c r="BT166" s="41" t="n">
        <f aca="false">IF(OR(Tasks[[#This Row],[Task Name]]="",Tasks[[#This Row],[_Level]]&lt;=1),0,IFERROR(LOOKUP(2,1/(Tasks[[#Headers],[_Level]]:Tasks[[#This Row],[_Level]]=Tasks[[#This Row],[_Level]]-1),ROW(Tasks[[#Headers],[_Level]]:Tasks[[#This Row],[_Level]])),0))</f>
        <v>0</v>
      </c>
      <c r="BU166" s="41" t="n">
        <f aca="false">IFERROR(N(INDEX(Tasks[_Level],Tasks[[#This Row],[_Row]]+1)),0)</f>
        <v>0</v>
      </c>
      <c r="BV166" s="100" t="b">
        <f aca="false">AND(Tasks[[#This Row],[Task Name]]&lt;&gt;"",Tasks[[#This Row],[_NextLevel]]&gt;Tasks[[#This Row],[_Level]])</f>
        <v>0</v>
      </c>
      <c r="BW166" s="41" t="n">
        <f aca="false">IF(Tasks[[#This Row],[_IsSummary]],COUNTIF(Tasks[WBS],Tasks[[#This Row],[WBS]]&amp;".*"),0)</f>
        <v>0</v>
      </c>
      <c r="BX166" s="41" t="n">
        <f aca="false">IF(AND(Tasks[[#This Row],[Task Name]]&lt;&gt;"",NOT(Tasks[[#This Row],[_IsSummary]])),1,0)</f>
        <v>0</v>
      </c>
      <c r="BY166" s="41" t="n">
        <f aca="false">IF(N(Tasks[[#This Row],[Pred1 UID]])=0,0,IFERROR(MATCH(Tasks[[#This Row],[Pred1 UID]],Tasks[UID],0),-1))</f>
        <v>0</v>
      </c>
      <c r="BZ166" s="41" t="n">
        <f aca="false">IF(N(Tasks[[#This Row],[Pred2 UID]])=0,0,IFERROR(MATCH(Tasks[[#This Row],[Pred2 UID]],Tasks[UID],0),-1))</f>
        <v>0</v>
      </c>
      <c r="CA166" s="41" t="n">
        <f aca="false">IF(N(Tasks[[#This Row],[Pred3 UID]])=0,0,IFERROR(MATCH(Tasks[[#This Row],[Pred3 UID]],Tasks[UID],0),-1))</f>
        <v>0</v>
      </c>
      <c r="CB166" s="41" t="n">
        <f aca="false">IF(N(Tasks[[#This Row],[Pred4 UID]])=0,0,IFERROR(MATCH(Tasks[[#This Row],[Pred4 UID]],Tasks[UID],0),-1))</f>
        <v>0</v>
      </c>
      <c r="CC1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6" s="101" t="n">
        <f aca="false">IF(OR(Tasks[[#This Row],[_ConstraintCode]]=2,Tasks[[#This Row],[_ConstraintCode]]=3,Tasks[[#This Row],[_ConstraintCode]]=4,Tasks[[#This Row],[_ConstraintCode]]=6),Tasks[[#This Row],[_ConstraintStart]],0)</f>
        <v>0</v>
      </c>
      <c r="CF166" s="101" t="n">
        <f aca="false">IF(OR(Tasks[[#This Row],[_ConstraintCode]]=2,Tasks[[#This Row],[_ConstraintCode]]=3,Tasks[[#This Row],[_ConstraintCode]]=5,Tasks[[#This Row],[_ConstraintCode]]=7),Tasks[[#This Row],[_ConstraintStart]],2958465)</f>
        <v>2958465</v>
      </c>
      <c r="CG16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6" s="101" t="str">
        <f aca="false">IF(NOT(Tasks[[#This Row],[_IsLeaf]]=1),"",IF(N(Tasks[[#This Row],[Duration]])&lt;=0,Tasks[[#This Row],[_LeafCalcStart]],WORKDAY.INTL(Tasks[[#This Row],[_LeafCalcStart]],Tasks[[#This Row],[Duration]]-1,WorkWeek,Holidays)))</f>
        <v/>
      </c>
      <c r="CI16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6" s="41" t="n">
        <f aca="false">IF(NOT(Tasks[[#This Row],[_IsLeaf]]=1),0,IF(N(Tasks[[#This Row],[Actual Finish]])&gt;0,1,MIN(1,N(Tasks[[#This Row],[% Complete]]))))</f>
        <v>0</v>
      </c>
      <c r="CL166" s="41" t="n">
        <f aca="false">IF(OR(NOT(Tasks[[#This Row],[_IsLeaf]]=1),Tasks[[#This Row],[Resource]]=""),0,N(Tasks[[#This Row],[Duration]])*HoursPerDay*IF(Tasks[[#This Row],[Units]]="",DefaultUnits,Tasks[[#This Row],[Units]]))</f>
        <v>0</v>
      </c>
      <c r="CM166" s="41" t="n">
        <f aca="false">IF(Tasks[[#This Row],[_LeafWork]]=0,0,Tasks[[#This Row],[_LeafWork]]*IFERROR(INDEX(res_Rate,MATCH(Tasks[[#This Row],[Resource]],res_Name,0)),0))</f>
        <v>0</v>
      </c>
      <c r="CN166" s="41" t="n">
        <f aca="false">Tasks[[#This Row],[_LeafWork]]+IF(Tasks[[#This Row],[_IsLeaf]]=1,SUMIFS(asg_Work,asg_TaskUID,Tasks[[#This Row],[UID]],asg_Valid,1),0)</f>
        <v>0</v>
      </c>
      <c r="CO166" s="41" t="n">
        <f aca="false">Tasks[[#This Row],[_LeafCost]]+IF(Tasks[[#This Row],[_IsLeaf]]=1,SUMIFS(asg_Cost,asg_TaskUID,Tasks[[#This Row],[UID]],asg_Valid,1),0)</f>
        <v>0</v>
      </c>
      <c r="CP166" s="41" t="n">
        <f aca="false">IF(Tasks[[#This Row],[_LeafTotalCost]]=0,Tasks[[#This Row],[_LeafAC]],Tasks[[#This Row],[_LeafAC]]*Tasks[[#This Row],[_LeafCost]]/Tasks[[#This Row],[_LeafTotalCost]])</f>
        <v>0</v>
      </c>
      <c r="CQ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6" s="41" t="n">
        <f aca="false">IF(NOT(Tasks[[#This Row],[_IsLeaf]]=1),0,MAX(_xlfn.MAXIFS(Tasks[_Row],Tasks[Pred1 UID],Tasks[[#This Row],[UID]]),_xlfn.MAXIFS(Tasks[_Row],Tasks[Pred2 UID],Tasks[[#This Row],[UID]]),_xlfn.MAXIFS(Tasks[_Row],Tasks[Pred3 UID],Tasks[[#This Row],[UID]]),_xlfn.MAXIFS(Tasks[_Row],Tasks[Pred4 UID],Tasks[[#This Row],[UID]])))</f>
        <v>0</v>
      </c>
      <c r="CZ1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6" s="101" t="str">
        <f aca="false">IF(NOT(Tasks[[#This Row],[_IsLeaf]]=1),"",IF(N(Tasks[[#This Row],[Duration]])&lt;=0,Tasks[[#This Row],[_LeafLateFinish]],WORKDAY.INTL(Tasks[[#This Row],[_LeafLateFinish]],-(Tasks[[#This Row],[Duration]]-1),WorkWeek,Holidays)))</f>
        <v/>
      </c>
      <c r="DC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6" s="100" t="b">
        <f aca="false">AND(Tasks[[#This Row],[_IsLeaf]]=1,Tasks[[#This Row],[_LeafProgress]]&lt;1,N(Tasks[[#This Row],[_LeafTotalSlack]])&lt;=CriticalSlackDays)</f>
        <v>0</v>
      </c>
      <c r="DE166" s="41" t="n">
        <f aca="false">IF(AND(Tasks[[#This Row],[_IsLeaf]]=1,Tasks[[#This Row],[_ConstraintCode]]=1,Tasks[[#This Row],[Mode]]&lt;&gt;"Manual",N(Tasks[[#This Row],[Actual Start]])=0),MAX(0,N(Tasks[[#This Row],[Free Slack]])),0)</f>
        <v>0</v>
      </c>
      <c r="DF166" s="101" t="str">
        <f aca="false">IF(NOT(Tasks[[#This Row],[_IsLeaf]]=1),"",IF(Tasks[[#This Row],[_AlapShift]]=0,Tasks[[#This Row],[_LeafCalcStart]],WORKDAY.INTL(Tasks[[#This Row],[_LeafCalcStart]],Tasks[[#This Row],[_AlapShift]],WorkWeek,Holidays)))</f>
        <v/>
      </c>
      <c r="DG166" s="101" t="str">
        <f aca="false">IF(NOT(Tasks[[#This Row],[_IsLeaf]]=1),"",IF(Tasks[[#This Row],[_AlapShift]]=0,Tasks[[#This Row],[_LeafCalcFinish]],WORKDAY.INTL(Tasks[[#This Row],[_LeafCalcFinish]],Tasks[[#This Row],[_AlapShift]],WorkWeek,Holidays)))</f>
        <v/>
      </c>
      <c r="DH166" s="101" t="str">
        <f aca="false">IF(NOT(Tasks[[#This Row],[_IsLeaf]]=1),"",IF(Tasks[[#This Row],[_AlapShift]]=0,Tasks[[#This Row],[_LeafFcstStart]],WORKDAY.INTL(Tasks[[#This Row],[_LeafFcstStart]],Tasks[[#This Row],[_AlapShift]],WorkWeek,Holidays)))</f>
        <v/>
      </c>
      <c r="DI166" s="101" t="str">
        <f aca="false">IF(NOT(Tasks[[#This Row],[_IsLeaf]]=1),"",IF(Tasks[[#This Row],[_AlapShift]]=0,Tasks[[#This Row],[_LeafFcstFinish]],WORKDAY.INTL(Tasks[[#This Row],[_LeafFcstFinish]],Tasks[[#This Row],[_AlapShift]],WorkWeek,Holidays)))</f>
        <v/>
      </c>
      <c r="DJ166" s="101" t="str">
        <f aca="false">IF(Tasks[[#This Row],[Task Name]]="","",IF(Tasks[[#This Row],[_IsSummary]],MIN(INDEX(Tasks[_ShownCalcStart],Tasks[[#This Row],[_Row]]+1):INDEX(Tasks[_ShownCalcStart],Tasks[[#This Row],[_Row]]+Tasks[[#This Row],[_Descendants]])),Tasks[[#This Row],[_ShownCalcStart]]))</f>
        <v/>
      </c>
      <c r="DK166" s="101" t="str">
        <f aca="false">IF(Tasks[[#This Row],[Task Name]]="","",IF(Tasks[[#This Row],[_IsSummary]],MAX(INDEX(Tasks[_ShownCalcFinish],Tasks[[#This Row],[_Row]]+1):INDEX(Tasks[_ShownCalcFinish],Tasks[[#This Row],[_Row]]+Tasks[[#This Row],[_Descendants]])),Tasks[[#This Row],[_ShownCalcFinish]]))</f>
        <v/>
      </c>
      <c r="D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6" s="41" t="n">
        <f aca="false">IF(AND(Tasks[[#This Row],[_IsLeaf]]=1,Tasks[[#This Row],[_LeafTotalWork]]&gt;0),NETWORKDAYS.INTL(ProjectStart,Tasks[[#This Row],[_ShownFcstStart]],WorkWeek,Holidays),0)</f>
        <v>0</v>
      </c>
      <c r="DY166" s="41" t="n">
        <f aca="false">IF(AND(Tasks[[#This Row],[_IsLeaf]]=1,Tasks[[#This Row],[_LeafTotalWork]]&gt;0),MAX(Tasks[[#This Row],[_StartWorkday]],NETWORKDAYS.INTL(ProjectStart,Tasks[[#This Row],[_ShownFcstFinish]],WorkWeek,Holidays)),0)</f>
        <v>0</v>
      </c>
      <c r="DZ166" s="41" t="n">
        <f aca="false">IF(AND(Tasks[[#This Row],[_IsLeaf]]=1,Tasks[[#This Row],[_LeafTotalWork]]&gt;0),Tasks[[#This Row],[_LeafWork]]/(Tasks[[#This Row],[_FinishWorkday]]-Tasks[[#This Row],[_StartWorkday]]+1),0)</f>
        <v>0</v>
      </c>
      <c r="EA166" s="41" t="n">
        <f aca="false">Tasks[[#This Row],[_WorkPerWorkday]]*(Tasks[[#This Row],[_StartWorkday]]-1)</f>
        <v>-0</v>
      </c>
      <c r="EB166" s="41" t="n">
        <f aca="false">IF(Tasks[[#This Row],[_IsLeaf]]=1,MAX(N(Tasks[[#This Row],[Duration]]),0.1),0)</f>
        <v>0</v>
      </c>
      <c r="EC166" s="41" t="n">
        <f aca="false">Tasks[[#This Row],[_WeightDur]]*Tasks[[#This Row],[_LeafProgress]]</f>
        <v>0</v>
      </c>
      <c r="ED1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6" s="41" t="str">
        <f aca="false">IF(AND(Tasks[[#This Row],[_IsLeaf]]=1,N(Tasks[[#This Row],[Duration]])=0,Tasks[[#This Row],[_LeafProgress]]&lt;1),Tasks[[#This Row],[_ShownFcstFinish]]+Tasks[[#This Row],[_Row]]/100000,"")</f>
        <v/>
      </c>
      <c r="EF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6" s="41" t="n">
        <f aca="false">IF(NOT(Tasks[[#This Row],[_IsLeaf]]=1),0,IF(Tasks[[#This Row],[Baseline Cost]]="",Tasks[[#This Row],[_LeafTotalCost]],N(Tasks[[#This Row],[Baseline Cost]])))</f>
        <v>0</v>
      </c>
      <c r="EH166" s="41" t="n">
        <f aca="false">Tasks[[#This Row],[_LeafBudget]]*Tasks[[#This Row],[_PlannedPct]]</f>
        <v>0</v>
      </c>
      <c r="EI166" s="41" t="n">
        <f aca="false">Tasks[[#This Row],[_LeafBudget]]*Tasks[[#This Row],[_LeafProgress]]</f>
        <v>0</v>
      </c>
      <c r="EJ166" s="41" t="n">
        <f aca="false">IF(NOT(Tasks[[#This Row],[_IsLeaf]]=1),0,IF(Tasks[[#This Row],[Actual Cost]]="",Tasks[[#This Row],[_LeafTotalCost]]*Tasks[[#This Row],[_LeafProgress]],N(Tasks[[#This Row],[Actual Cost]])))</f>
        <v>0</v>
      </c>
      <c r="EK166" s="41" t="str">
        <f aca="false">IF(Tasks[[#This Row],[Task Name]]="","",LEFT(Tasks[[#This Row],[WBS]],FIND(".",Tasks[[#This Row],[WBS]]&amp;".")-1))</f>
        <v/>
      </c>
      <c r="EL166" s="41" t="str">
        <f aca="false">IF(AND(Tasks[[#This Row],[Task Name]]&lt;&gt;"",Tasks[[#This Row],[_Level]]=1),Tasks[[#This Row],[_Row]],"")</f>
        <v/>
      </c>
      <c r="EM166" s="41" t="str">
        <f aca="false">IF(AND(Tasks[[#This Row],[_IsLeaf]]=1,N(Tasks[[#This Row],[Duration]])=0),Tasks[[#This Row],[Planned Finish]]+Tasks[[#This Row],[_Row]]/100000,"")</f>
        <v/>
      </c>
      <c r="EN166" s="41" t="str">
        <f aca="false">IF(AND(Tasks[[#This Row],[_IsLeaf]]=1,Tasks[[#This Row],[_LeafProgress]]&lt;1,OR(N(Tasks[[#This Row],[Finish Var]])&gt;0,Tasks[[#This Row],[Status]]="Late Start")),MAX(0,Tasks[[#This Row],[Finish Var]])+1-Tasks[[#This Row],[_Row]]/1000000,"")</f>
        <v/>
      </c>
      <c r="EO166" s="41" t="str">
        <f aca="false">IF(AND(Tasks[[#This Row],[_IsLeaf]]=1,N(Tasks[[#This Row],[Actual Start]])=0,Tasks[[#This Row],[_ShownFcstStart]]&gt;=StatusDate,Tasks[[#This Row],[_ShownFcstStart]]&lt;=LookaheadEnd),Tasks[[#This Row],[_ShownFcstStart]]+Tasks[[#This Row],[_Row]]/100000,"")</f>
        <v/>
      </c>
      <c r="EP166" s="41" t="str">
        <f aca="false">IF(AND(Tasks[[#This Row],[_IsLeaf]]=1,Tasks[[#This Row],[_LeafProgress]]&lt;1,Tasks[[#This Row],[_ShownFcstFinish]]&gt;=StatusDate,Tasks[[#This Row],[_ShownFcstFinish]]&lt;=LookaheadEnd),Tasks[[#This Row],[_ShownFcstFinish]]+Tasks[[#This Row],[_Row]]/100000,"")</f>
        <v/>
      </c>
      <c r="EQ166" s="41" t="str">
        <f aca="false">IF(Tasks[[#This Row],[_LeafCritical]],Tasks[[#This Row],[_ShownFcstStart]]+Tasks[[#This Row],[_Row]]/100000,"")</f>
        <v/>
      </c>
      <c r="ER166" s="41" t="n">
        <f aca="false">Tasks[[#This Row],[_LeafWork]]*Tasks[[#This Row],[_LeafProgress]]</f>
        <v>0</v>
      </c>
      <c r="ES166" s="101" t="str">
        <f aca="false">IF(AND(Tasks[[#This Row],[_IsLeaf]]=1,Tasks[[#This Row],[_LeafProgress]]&gt;=1),IF(N(Tasks[[#This Row],[Actual Finish]])&gt;0,Tasks[[#This Row],[Actual Finish]],Tasks[[#This Row],[_ShownFcstFinish]]),"")</f>
        <v/>
      </c>
      <c r="ET166" s="41" t="n">
        <f aca="false">IF(Tasks[[#This Row],[_IsLeaf]]=1,N(Tasks[[#This Row],[Story Points]]),0)</f>
        <v>0</v>
      </c>
      <c r="EU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29"/>
      <c r="O167" s="29"/>
      <c r="P167" s="29"/>
      <c r="Q167" s="29"/>
      <c r="R167" s="29"/>
      <c r="S167" s="29"/>
      <c r="T167" s="30"/>
      <c r="U167" s="75"/>
      <c r="V167" s="75"/>
      <c r="W167" s="25" t="str">
        <f aca="false">IF(Tasks[[#This Row],[Task Name]]="","",IF(N(Tasks[[#This Row],[Baseline Start]])&gt;0,Tasks[[#This Row],[Baseline Start]],Tasks[[#This Row],[_CalcStart]]))</f>
        <v/>
      </c>
      <c r="X167" s="25" t="str">
        <f aca="false">IF(Tasks[[#This Row],[Task Name]]="","",IF(N(Tasks[[#This Row],[Baseline Finish]])&gt;0,Tasks[[#This Row],[Baseline Finish]],Tasks[[#This Row],[_CalcFinish]]))</f>
        <v/>
      </c>
      <c r="Y167" s="75"/>
      <c r="Z167" s="75"/>
      <c r="AA167" s="25" t="str">
        <f aca="false">IF(Tasks[[#This Row],[Task Name]]="","",IF(Tasks[[#This Row],[_IsSummary]],MIN(INDEX(Tasks[_ShownFcstStart],Tasks[[#This Row],[_Row]]+1):INDEX(Tasks[_ShownFcstStart],Tasks[[#This Row],[_Row]]+Tasks[[#This Row],[_Descendants]])),Tasks[[#This Row],[_ShownFcstStart]]))</f>
        <v/>
      </c>
      <c r="AB167" s="25" t="str">
        <f aca="false">IF(Tasks[[#This Row],[Task Name]]="","",IF(Tasks[[#This Row],[_IsSummary]],MAX(INDEX(Tasks[_ShownFcstFinish],Tasks[[#This Row],[_Row]]+1):INDEX(Tasks[_ShownFcstFinish],Tasks[[#This Row],[_Row]]+Tasks[[#This Row],[_Descendants]])),Tasks[[#This Row],[_ShownFcstFinish]]))</f>
        <v/>
      </c>
      <c r="AC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7" s="25" t="str">
        <f aca="false">IF(Tasks[[#This Row],[Task Name]]="","",IF(Tasks[[#This Row],[_IsSummary]],MIN(INDEX(Tasks[_LeafLateStart],Tasks[[#This Row],[_Row]]+1):INDEX(Tasks[_LeafLateStart],Tasks[[#This Row],[_Row]]+Tasks[[#This Row],[_Descendants]])),Tasks[[#This Row],[_LeafLateStart]]))</f>
        <v/>
      </c>
      <c r="AF167" s="25" t="str">
        <f aca="false">IF(Tasks[[#This Row],[Task Name]]="","",IF(Tasks[[#This Row],[_IsSummary]],MAX(INDEX(Tasks[_LeafLateFinish],Tasks[[#This Row],[_Row]]+1):INDEX(Tasks[_LeafLateFinish],Tasks[[#This Row],[_Row]]+Tasks[[#This Row],[_Descendants]])),Tasks[[#This Row],[_LeafLateFinish]]))</f>
        <v/>
      </c>
      <c r="AG167" s="28" t="str">
        <f aca="false">IF(Tasks[[#This Row],[Task Name]]="","",IF(Tasks[[#This Row],[_IsSummary]],MIN(INDEX(Tasks[_LeafTotalSlack],Tasks[[#This Row],[_Row]]+1):INDEX(Tasks[_LeafTotalSlack],Tasks[[#This Row],[_Row]]+Tasks[[#This Row],[_Descendants]])),Tasks[[#This Row],[_LeafTotalSlack]]))</f>
        <v/>
      </c>
      <c r="AH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7" s="28" t="str">
        <f aca="false">IF(Tasks[[#This Row],[Task Name]]="","",IF(IF(Tasks[[#This Row],[_IsSummary]],COUNTIF(INDEX(Tasks[_LeafCritical],Tasks[[#This Row],[_Row]]+1):INDEX(Tasks[_LeafCritical],Tasks[[#This Row],[_Row]]+Tasks[[#This Row],[_Descendants]]),TRUE())&gt;0,Tasks[[#This Row],[_LeafCritical]]),"Yes",""))</f>
        <v/>
      </c>
      <c r="AJ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7" s="89"/>
      <c r="AM1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7" s="28" t="str">
        <f aca="false">IF(Tasks[[#This Row],[Task Name]]="","",IF(Tasks[[#This Row],[Progress]]&gt;=1,"Complete",IF(OR(N(Tasks[[#This Row],[Actual Start]])&gt;0,Tasks[[#This Row],[Progress]]&gt;0),IF(Tasks[[#This Row],[Finish Var]]&gt;0,"Behind","In Progress"),IF(Tasks[[#This Row],[Planned Start]]&lt;StatusDate,"Late Start","Not Started"))))</f>
        <v/>
      </c>
      <c r="AO167" s="30"/>
      <c r="AP167" s="89"/>
      <c r="AQ1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7" s="96" t="str">
        <f aca="false">IF(Tasks[[#This Row],[Task Name]]="","",IF(Tasks[[#This Row],[_IsSummary]],SUM(INDEX(Tasks[_LeafTotalWork],Tasks[[#This Row],[_Row]]+1):INDEX(Tasks[_LeafTotalWork],Tasks[[#This Row],[_Row]]+Tasks[[#This Row],[_Descendants]])),Tasks[[#This Row],[_LeafTotalWork]]))</f>
        <v/>
      </c>
      <c r="AT167" s="97" t="str">
        <f aca="false">IF(Tasks[[#This Row],[Task Name]]="","",IF(Tasks[[#This Row],[_IsSummary]],SUM(INDEX(Tasks[_LeafTotalCost],Tasks[[#This Row],[_Row]]+1):INDEX(Tasks[_LeafTotalCost],Tasks[[#This Row],[_Row]]+Tasks[[#This Row],[_Descendants]])),Tasks[[#This Row],[_LeafTotalCost]]))</f>
        <v/>
      </c>
      <c r="AU167" s="98"/>
      <c r="AV167" s="29"/>
      <c r="AW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7" s="83"/>
      <c r="AY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7" s="30"/>
      <c r="BA167" s="25" t="str">
        <f aca="false">IF(Tasks[[#This Row],[Task Name]]="","",Tasks[[#This Row],[Forecast Start]])</f>
        <v/>
      </c>
      <c r="BB167" s="25" t="str">
        <f aca="false">IF(Tasks[[#This Row],[Task Name]]="","",Tasks[[#This Row],[Forecast Finish]])</f>
        <v/>
      </c>
      <c r="BC167" s="28" t="str">
        <f aca="false">IF(Tasks[[#This Row],[Task Name]]="","",IF(Tasks[[#This Row],[_IsSummary]],NETWORKDAYS.INTL(Tasks[[#This Row],[Forecast Start]],Tasks[[#This Row],[Forecast Finish]],WorkWeek,Holidays),N(Tasks[[#This Row],[Duration]])))</f>
        <v/>
      </c>
      <c r="BD167" s="96" t="str">
        <f aca="false">IF(Tasks[[#This Row],[Task Name]]="","",Tasks[[#This Row],[Work]])</f>
        <v/>
      </c>
      <c r="BE167" s="97" t="str">
        <f aca="false">IF(Tasks[[#This Row],[Task Name]]="","",Tasks[[#This Row],[Cost]])</f>
        <v/>
      </c>
      <c r="BF167" s="75"/>
      <c r="BG167" s="75"/>
      <c r="BH167" s="29"/>
      <c r="BI167" s="99"/>
      <c r="BJ167" s="98"/>
      <c r="BK167" s="28" t="str">
        <f aca="false">IF(OR(Tasks[[#This Row],[Task Name]]="",Tasks[[#This Row],[Baseline Duration]]=""),"",Tasks[[#This Row],[BL Source Duration]]-N(Tasks[[#This Row],[Baseline Duration]]))</f>
        <v/>
      </c>
      <c r="BL167" s="96" t="str">
        <f aca="false">IF(OR(Tasks[[#This Row],[Task Name]]="",Tasks[[#This Row],[Baseline Work]]=""),"",Tasks[[#This Row],[Work]]-N(Tasks[[#This Row],[Baseline Work]]))</f>
        <v/>
      </c>
      <c r="BM167" s="97" t="str">
        <f aca="false">IF(OR(Tasks[[#This Row],[Task Name]]="",Tasks[[#This Row],[Baseline Cost]]=""),"",Tasks[[#This Row],[Cost]]-N(Tasks[[#This Row],[Baseline Cost]]))</f>
        <v/>
      </c>
      <c r="BN167" s="97" t="str">
        <f aca="false">IF(Tasks[[#This Row],[Task Name]]="","",IF(Tasks[[#This Row],[_IsSummary]],SUM(INDEX(Tasks[_LeafBudget],Tasks[[#This Row],[_Row]]+1):INDEX(Tasks[_LeafBudget],Tasks[[#This Row],[_Row]]+Tasks[[#This Row],[_Descendants]])),Tasks[[#This Row],[_LeafBudget]]))</f>
        <v/>
      </c>
      <c r="BO167" s="97" t="str">
        <f aca="false">IF(Tasks[[#This Row],[Task Name]]="","",IF(Tasks[[#This Row],[_IsSummary]],SUM(INDEX(Tasks[_LeafPV],Tasks[[#This Row],[_Row]]+1):INDEX(Tasks[_LeafPV],Tasks[[#This Row],[_Row]]+Tasks[[#This Row],[_Descendants]])),Tasks[[#This Row],[_LeafPV]]))</f>
        <v/>
      </c>
      <c r="BP167" s="97" t="str">
        <f aca="false">IF(Tasks[[#This Row],[Task Name]]="","",IF(Tasks[[#This Row],[_IsSummary]],SUM(INDEX(Tasks[_LeafEV],Tasks[[#This Row],[_Row]]+1):INDEX(Tasks[_LeafEV],Tasks[[#This Row],[_Row]]+Tasks[[#This Row],[_Descendants]])),Tasks[[#This Row],[_LeafEV]]))</f>
        <v/>
      </c>
      <c r="BQ167" s="97" t="str">
        <f aca="false">IF(Tasks[[#This Row],[Task Name]]="","",IF(Tasks[[#This Row],[_IsSummary]],SUM(INDEX(Tasks[_LeafAC],Tasks[[#This Row],[_Row]]+1):INDEX(Tasks[_LeafAC],Tasks[[#This Row],[_Row]]+Tasks[[#This Row],[_Descendants]])),Tasks[[#This Row],[_LeafAC]]))</f>
        <v/>
      </c>
      <c r="BR167" s="41" t="str">
        <f aca="false">IF(Tasks[[#This Row],[Task Name]]="","",MAX(1,N(Tasks[[#This Row],[Level]])))</f>
        <v/>
      </c>
      <c r="BS167" s="41" t="n">
        <f aca="false">ROW()-ROW(Tasks[[#Headers],[ID]])</f>
        <v>162</v>
      </c>
      <c r="BT167" s="41" t="n">
        <f aca="false">IF(OR(Tasks[[#This Row],[Task Name]]="",Tasks[[#This Row],[_Level]]&lt;=1),0,IFERROR(LOOKUP(2,1/(Tasks[[#Headers],[_Level]]:Tasks[[#This Row],[_Level]]=Tasks[[#This Row],[_Level]]-1),ROW(Tasks[[#Headers],[_Level]]:Tasks[[#This Row],[_Level]])),0))</f>
        <v>0</v>
      </c>
      <c r="BU167" s="41" t="n">
        <f aca="false">IFERROR(N(INDEX(Tasks[_Level],Tasks[[#This Row],[_Row]]+1)),0)</f>
        <v>0</v>
      </c>
      <c r="BV167" s="100" t="b">
        <f aca="false">AND(Tasks[[#This Row],[Task Name]]&lt;&gt;"",Tasks[[#This Row],[_NextLevel]]&gt;Tasks[[#This Row],[_Level]])</f>
        <v>0</v>
      </c>
      <c r="BW167" s="41" t="n">
        <f aca="false">IF(Tasks[[#This Row],[_IsSummary]],COUNTIF(Tasks[WBS],Tasks[[#This Row],[WBS]]&amp;".*"),0)</f>
        <v>0</v>
      </c>
      <c r="BX167" s="41" t="n">
        <f aca="false">IF(AND(Tasks[[#This Row],[Task Name]]&lt;&gt;"",NOT(Tasks[[#This Row],[_IsSummary]])),1,0)</f>
        <v>0</v>
      </c>
      <c r="BY167" s="41" t="n">
        <f aca="false">IF(N(Tasks[[#This Row],[Pred1 UID]])=0,0,IFERROR(MATCH(Tasks[[#This Row],[Pred1 UID]],Tasks[UID],0),-1))</f>
        <v>0</v>
      </c>
      <c r="BZ167" s="41" t="n">
        <f aca="false">IF(N(Tasks[[#This Row],[Pred2 UID]])=0,0,IFERROR(MATCH(Tasks[[#This Row],[Pred2 UID]],Tasks[UID],0),-1))</f>
        <v>0</v>
      </c>
      <c r="CA167" s="41" t="n">
        <f aca="false">IF(N(Tasks[[#This Row],[Pred3 UID]])=0,0,IFERROR(MATCH(Tasks[[#This Row],[Pred3 UID]],Tasks[UID],0),-1))</f>
        <v>0</v>
      </c>
      <c r="CB167" s="41" t="n">
        <f aca="false">IF(N(Tasks[[#This Row],[Pred4 UID]])=0,0,IFERROR(MATCH(Tasks[[#This Row],[Pred4 UID]],Tasks[UID],0),-1))</f>
        <v>0</v>
      </c>
      <c r="CC1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7" s="101" t="n">
        <f aca="false">IF(OR(Tasks[[#This Row],[_ConstraintCode]]=2,Tasks[[#This Row],[_ConstraintCode]]=3,Tasks[[#This Row],[_ConstraintCode]]=4,Tasks[[#This Row],[_ConstraintCode]]=6),Tasks[[#This Row],[_ConstraintStart]],0)</f>
        <v>0</v>
      </c>
      <c r="CF167" s="101" t="n">
        <f aca="false">IF(OR(Tasks[[#This Row],[_ConstraintCode]]=2,Tasks[[#This Row],[_ConstraintCode]]=3,Tasks[[#This Row],[_ConstraintCode]]=5,Tasks[[#This Row],[_ConstraintCode]]=7),Tasks[[#This Row],[_ConstraintStart]],2958465)</f>
        <v>2958465</v>
      </c>
      <c r="CG16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7" s="101" t="str">
        <f aca="false">IF(NOT(Tasks[[#This Row],[_IsLeaf]]=1),"",IF(N(Tasks[[#This Row],[Duration]])&lt;=0,Tasks[[#This Row],[_LeafCalcStart]],WORKDAY.INTL(Tasks[[#This Row],[_LeafCalcStart]],Tasks[[#This Row],[Duration]]-1,WorkWeek,Holidays)))</f>
        <v/>
      </c>
      <c r="CI16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7" s="41" t="n">
        <f aca="false">IF(NOT(Tasks[[#This Row],[_IsLeaf]]=1),0,IF(N(Tasks[[#This Row],[Actual Finish]])&gt;0,1,MIN(1,N(Tasks[[#This Row],[% Complete]]))))</f>
        <v>0</v>
      </c>
      <c r="CL167" s="41" t="n">
        <f aca="false">IF(OR(NOT(Tasks[[#This Row],[_IsLeaf]]=1),Tasks[[#This Row],[Resource]]=""),0,N(Tasks[[#This Row],[Duration]])*HoursPerDay*IF(Tasks[[#This Row],[Units]]="",DefaultUnits,Tasks[[#This Row],[Units]]))</f>
        <v>0</v>
      </c>
      <c r="CM167" s="41" t="n">
        <f aca="false">IF(Tasks[[#This Row],[_LeafWork]]=0,0,Tasks[[#This Row],[_LeafWork]]*IFERROR(INDEX(res_Rate,MATCH(Tasks[[#This Row],[Resource]],res_Name,0)),0))</f>
        <v>0</v>
      </c>
      <c r="CN167" s="41" t="n">
        <f aca="false">Tasks[[#This Row],[_LeafWork]]+IF(Tasks[[#This Row],[_IsLeaf]]=1,SUMIFS(asg_Work,asg_TaskUID,Tasks[[#This Row],[UID]],asg_Valid,1),0)</f>
        <v>0</v>
      </c>
      <c r="CO167" s="41" t="n">
        <f aca="false">Tasks[[#This Row],[_LeafCost]]+IF(Tasks[[#This Row],[_IsLeaf]]=1,SUMIFS(asg_Cost,asg_TaskUID,Tasks[[#This Row],[UID]],asg_Valid,1),0)</f>
        <v>0</v>
      </c>
      <c r="CP167" s="41" t="n">
        <f aca="false">IF(Tasks[[#This Row],[_LeafTotalCost]]=0,Tasks[[#This Row],[_LeafAC]],Tasks[[#This Row],[_LeafAC]]*Tasks[[#This Row],[_LeafCost]]/Tasks[[#This Row],[_LeafTotalCost]])</f>
        <v>0</v>
      </c>
      <c r="CQ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7" s="41" t="n">
        <f aca="false">IF(NOT(Tasks[[#This Row],[_IsLeaf]]=1),0,MAX(_xlfn.MAXIFS(Tasks[_Row],Tasks[Pred1 UID],Tasks[[#This Row],[UID]]),_xlfn.MAXIFS(Tasks[_Row],Tasks[Pred2 UID],Tasks[[#This Row],[UID]]),_xlfn.MAXIFS(Tasks[_Row],Tasks[Pred3 UID],Tasks[[#This Row],[UID]]),_xlfn.MAXIFS(Tasks[_Row],Tasks[Pred4 UID],Tasks[[#This Row],[UID]])))</f>
        <v>0</v>
      </c>
      <c r="CZ1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7" s="101" t="str">
        <f aca="false">IF(NOT(Tasks[[#This Row],[_IsLeaf]]=1),"",IF(N(Tasks[[#This Row],[Duration]])&lt;=0,Tasks[[#This Row],[_LeafLateFinish]],WORKDAY.INTL(Tasks[[#This Row],[_LeafLateFinish]],-(Tasks[[#This Row],[Duration]]-1),WorkWeek,Holidays)))</f>
        <v/>
      </c>
      <c r="DC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7" s="100" t="b">
        <f aca="false">AND(Tasks[[#This Row],[_IsLeaf]]=1,Tasks[[#This Row],[_LeafProgress]]&lt;1,N(Tasks[[#This Row],[_LeafTotalSlack]])&lt;=CriticalSlackDays)</f>
        <v>0</v>
      </c>
      <c r="DE167" s="41" t="n">
        <f aca="false">IF(AND(Tasks[[#This Row],[_IsLeaf]]=1,Tasks[[#This Row],[_ConstraintCode]]=1,Tasks[[#This Row],[Mode]]&lt;&gt;"Manual",N(Tasks[[#This Row],[Actual Start]])=0),MAX(0,N(Tasks[[#This Row],[Free Slack]])),0)</f>
        <v>0</v>
      </c>
      <c r="DF167" s="101" t="str">
        <f aca="false">IF(NOT(Tasks[[#This Row],[_IsLeaf]]=1),"",IF(Tasks[[#This Row],[_AlapShift]]=0,Tasks[[#This Row],[_LeafCalcStart]],WORKDAY.INTL(Tasks[[#This Row],[_LeafCalcStart]],Tasks[[#This Row],[_AlapShift]],WorkWeek,Holidays)))</f>
        <v/>
      </c>
      <c r="DG167" s="101" t="str">
        <f aca="false">IF(NOT(Tasks[[#This Row],[_IsLeaf]]=1),"",IF(Tasks[[#This Row],[_AlapShift]]=0,Tasks[[#This Row],[_LeafCalcFinish]],WORKDAY.INTL(Tasks[[#This Row],[_LeafCalcFinish]],Tasks[[#This Row],[_AlapShift]],WorkWeek,Holidays)))</f>
        <v/>
      </c>
      <c r="DH167" s="101" t="str">
        <f aca="false">IF(NOT(Tasks[[#This Row],[_IsLeaf]]=1),"",IF(Tasks[[#This Row],[_AlapShift]]=0,Tasks[[#This Row],[_LeafFcstStart]],WORKDAY.INTL(Tasks[[#This Row],[_LeafFcstStart]],Tasks[[#This Row],[_AlapShift]],WorkWeek,Holidays)))</f>
        <v/>
      </c>
      <c r="DI167" s="101" t="str">
        <f aca="false">IF(NOT(Tasks[[#This Row],[_IsLeaf]]=1),"",IF(Tasks[[#This Row],[_AlapShift]]=0,Tasks[[#This Row],[_LeafFcstFinish]],WORKDAY.INTL(Tasks[[#This Row],[_LeafFcstFinish]],Tasks[[#This Row],[_AlapShift]],WorkWeek,Holidays)))</f>
        <v/>
      </c>
      <c r="DJ167" s="101" t="str">
        <f aca="false">IF(Tasks[[#This Row],[Task Name]]="","",IF(Tasks[[#This Row],[_IsSummary]],MIN(INDEX(Tasks[_ShownCalcStart],Tasks[[#This Row],[_Row]]+1):INDEX(Tasks[_ShownCalcStart],Tasks[[#This Row],[_Row]]+Tasks[[#This Row],[_Descendants]])),Tasks[[#This Row],[_ShownCalcStart]]))</f>
        <v/>
      </c>
      <c r="DK167" s="101" t="str">
        <f aca="false">IF(Tasks[[#This Row],[Task Name]]="","",IF(Tasks[[#This Row],[_IsSummary]],MAX(INDEX(Tasks[_ShownCalcFinish],Tasks[[#This Row],[_Row]]+1):INDEX(Tasks[_ShownCalcFinish],Tasks[[#This Row],[_Row]]+Tasks[[#This Row],[_Descendants]])),Tasks[[#This Row],[_ShownCalcFinish]]))</f>
        <v/>
      </c>
      <c r="D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7" s="41" t="n">
        <f aca="false">IF(AND(Tasks[[#This Row],[_IsLeaf]]=1,Tasks[[#This Row],[_LeafTotalWork]]&gt;0),NETWORKDAYS.INTL(ProjectStart,Tasks[[#This Row],[_ShownFcstStart]],WorkWeek,Holidays),0)</f>
        <v>0</v>
      </c>
      <c r="DY167" s="41" t="n">
        <f aca="false">IF(AND(Tasks[[#This Row],[_IsLeaf]]=1,Tasks[[#This Row],[_LeafTotalWork]]&gt;0),MAX(Tasks[[#This Row],[_StartWorkday]],NETWORKDAYS.INTL(ProjectStart,Tasks[[#This Row],[_ShownFcstFinish]],WorkWeek,Holidays)),0)</f>
        <v>0</v>
      </c>
      <c r="DZ167" s="41" t="n">
        <f aca="false">IF(AND(Tasks[[#This Row],[_IsLeaf]]=1,Tasks[[#This Row],[_LeafTotalWork]]&gt;0),Tasks[[#This Row],[_LeafWork]]/(Tasks[[#This Row],[_FinishWorkday]]-Tasks[[#This Row],[_StartWorkday]]+1),0)</f>
        <v>0</v>
      </c>
      <c r="EA167" s="41" t="n">
        <f aca="false">Tasks[[#This Row],[_WorkPerWorkday]]*(Tasks[[#This Row],[_StartWorkday]]-1)</f>
        <v>-0</v>
      </c>
      <c r="EB167" s="41" t="n">
        <f aca="false">IF(Tasks[[#This Row],[_IsLeaf]]=1,MAX(N(Tasks[[#This Row],[Duration]]),0.1),0)</f>
        <v>0</v>
      </c>
      <c r="EC167" s="41" t="n">
        <f aca="false">Tasks[[#This Row],[_WeightDur]]*Tasks[[#This Row],[_LeafProgress]]</f>
        <v>0</v>
      </c>
      <c r="ED1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7" s="41" t="str">
        <f aca="false">IF(AND(Tasks[[#This Row],[_IsLeaf]]=1,N(Tasks[[#This Row],[Duration]])=0,Tasks[[#This Row],[_LeafProgress]]&lt;1),Tasks[[#This Row],[_ShownFcstFinish]]+Tasks[[#This Row],[_Row]]/100000,"")</f>
        <v/>
      </c>
      <c r="EF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7" s="41" t="n">
        <f aca="false">IF(NOT(Tasks[[#This Row],[_IsLeaf]]=1),0,IF(Tasks[[#This Row],[Baseline Cost]]="",Tasks[[#This Row],[_LeafTotalCost]],N(Tasks[[#This Row],[Baseline Cost]])))</f>
        <v>0</v>
      </c>
      <c r="EH167" s="41" t="n">
        <f aca="false">Tasks[[#This Row],[_LeafBudget]]*Tasks[[#This Row],[_PlannedPct]]</f>
        <v>0</v>
      </c>
      <c r="EI167" s="41" t="n">
        <f aca="false">Tasks[[#This Row],[_LeafBudget]]*Tasks[[#This Row],[_LeafProgress]]</f>
        <v>0</v>
      </c>
      <c r="EJ167" s="41" t="n">
        <f aca="false">IF(NOT(Tasks[[#This Row],[_IsLeaf]]=1),0,IF(Tasks[[#This Row],[Actual Cost]]="",Tasks[[#This Row],[_LeafTotalCost]]*Tasks[[#This Row],[_LeafProgress]],N(Tasks[[#This Row],[Actual Cost]])))</f>
        <v>0</v>
      </c>
      <c r="EK167" s="41" t="str">
        <f aca="false">IF(Tasks[[#This Row],[Task Name]]="","",LEFT(Tasks[[#This Row],[WBS]],FIND(".",Tasks[[#This Row],[WBS]]&amp;".")-1))</f>
        <v/>
      </c>
      <c r="EL167" s="41" t="str">
        <f aca="false">IF(AND(Tasks[[#This Row],[Task Name]]&lt;&gt;"",Tasks[[#This Row],[_Level]]=1),Tasks[[#This Row],[_Row]],"")</f>
        <v/>
      </c>
      <c r="EM167" s="41" t="str">
        <f aca="false">IF(AND(Tasks[[#This Row],[_IsLeaf]]=1,N(Tasks[[#This Row],[Duration]])=0),Tasks[[#This Row],[Planned Finish]]+Tasks[[#This Row],[_Row]]/100000,"")</f>
        <v/>
      </c>
      <c r="EN167" s="41" t="str">
        <f aca="false">IF(AND(Tasks[[#This Row],[_IsLeaf]]=1,Tasks[[#This Row],[_LeafProgress]]&lt;1,OR(N(Tasks[[#This Row],[Finish Var]])&gt;0,Tasks[[#This Row],[Status]]="Late Start")),MAX(0,Tasks[[#This Row],[Finish Var]])+1-Tasks[[#This Row],[_Row]]/1000000,"")</f>
        <v/>
      </c>
      <c r="EO167" s="41" t="str">
        <f aca="false">IF(AND(Tasks[[#This Row],[_IsLeaf]]=1,N(Tasks[[#This Row],[Actual Start]])=0,Tasks[[#This Row],[_ShownFcstStart]]&gt;=StatusDate,Tasks[[#This Row],[_ShownFcstStart]]&lt;=LookaheadEnd),Tasks[[#This Row],[_ShownFcstStart]]+Tasks[[#This Row],[_Row]]/100000,"")</f>
        <v/>
      </c>
      <c r="EP167" s="41" t="str">
        <f aca="false">IF(AND(Tasks[[#This Row],[_IsLeaf]]=1,Tasks[[#This Row],[_LeafProgress]]&lt;1,Tasks[[#This Row],[_ShownFcstFinish]]&gt;=StatusDate,Tasks[[#This Row],[_ShownFcstFinish]]&lt;=LookaheadEnd),Tasks[[#This Row],[_ShownFcstFinish]]+Tasks[[#This Row],[_Row]]/100000,"")</f>
        <v/>
      </c>
      <c r="EQ167" s="41" t="str">
        <f aca="false">IF(Tasks[[#This Row],[_LeafCritical]],Tasks[[#This Row],[_ShownFcstStart]]+Tasks[[#This Row],[_Row]]/100000,"")</f>
        <v/>
      </c>
      <c r="ER167" s="41" t="n">
        <f aca="false">Tasks[[#This Row],[_LeafWork]]*Tasks[[#This Row],[_LeafProgress]]</f>
        <v>0</v>
      </c>
      <c r="ES167" s="101" t="str">
        <f aca="false">IF(AND(Tasks[[#This Row],[_IsLeaf]]=1,Tasks[[#This Row],[_LeafProgress]]&gt;=1),IF(N(Tasks[[#This Row],[Actual Finish]])&gt;0,Tasks[[#This Row],[Actual Finish]],Tasks[[#This Row],[_ShownFcstFinish]]),"")</f>
        <v/>
      </c>
      <c r="ET167" s="41" t="n">
        <f aca="false">IF(Tasks[[#This Row],[_IsLeaf]]=1,N(Tasks[[#This Row],[Story Points]]),0)</f>
        <v>0</v>
      </c>
      <c r="EU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29"/>
      <c r="O168" s="29"/>
      <c r="P168" s="29"/>
      <c r="Q168" s="29"/>
      <c r="R168" s="29"/>
      <c r="S168" s="29"/>
      <c r="T168" s="30"/>
      <c r="U168" s="75"/>
      <c r="V168" s="75"/>
      <c r="W168" s="25" t="str">
        <f aca="false">IF(Tasks[[#This Row],[Task Name]]="","",IF(N(Tasks[[#This Row],[Baseline Start]])&gt;0,Tasks[[#This Row],[Baseline Start]],Tasks[[#This Row],[_CalcStart]]))</f>
        <v/>
      </c>
      <c r="X168" s="25" t="str">
        <f aca="false">IF(Tasks[[#This Row],[Task Name]]="","",IF(N(Tasks[[#This Row],[Baseline Finish]])&gt;0,Tasks[[#This Row],[Baseline Finish]],Tasks[[#This Row],[_CalcFinish]]))</f>
        <v/>
      </c>
      <c r="Y168" s="75"/>
      <c r="Z168" s="75"/>
      <c r="AA168" s="25" t="str">
        <f aca="false">IF(Tasks[[#This Row],[Task Name]]="","",IF(Tasks[[#This Row],[_IsSummary]],MIN(INDEX(Tasks[_ShownFcstStart],Tasks[[#This Row],[_Row]]+1):INDEX(Tasks[_ShownFcstStart],Tasks[[#This Row],[_Row]]+Tasks[[#This Row],[_Descendants]])),Tasks[[#This Row],[_ShownFcstStart]]))</f>
        <v/>
      </c>
      <c r="AB168" s="25" t="str">
        <f aca="false">IF(Tasks[[#This Row],[Task Name]]="","",IF(Tasks[[#This Row],[_IsSummary]],MAX(INDEX(Tasks[_ShownFcstFinish],Tasks[[#This Row],[_Row]]+1):INDEX(Tasks[_ShownFcstFinish],Tasks[[#This Row],[_Row]]+Tasks[[#This Row],[_Descendants]])),Tasks[[#This Row],[_ShownFcstFinish]]))</f>
        <v/>
      </c>
      <c r="AC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8" s="25" t="str">
        <f aca="false">IF(Tasks[[#This Row],[Task Name]]="","",IF(Tasks[[#This Row],[_IsSummary]],MIN(INDEX(Tasks[_LeafLateStart],Tasks[[#This Row],[_Row]]+1):INDEX(Tasks[_LeafLateStart],Tasks[[#This Row],[_Row]]+Tasks[[#This Row],[_Descendants]])),Tasks[[#This Row],[_LeafLateStart]]))</f>
        <v/>
      </c>
      <c r="AF168" s="25" t="str">
        <f aca="false">IF(Tasks[[#This Row],[Task Name]]="","",IF(Tasks[[#This Row],[_IsSummary]],MAX(INDEX(Tasks[_LeafLateFinish],Tasks[[#This Row],[_Row]]+1):INDEX(Tasks[_LeafLateFinish],Tasks[[#This Row],[_Row]]+Tasks[[#This Row],[_Descendants]])),Tasks[[#This Row],[_LeafLateFinish]]))</f>
        <v/>
      </c>
      <c r="AG168" s="28" t="str">
        <f aca="false">IF(Tasks[[#This Row],[Task Name]]="","",IF(Tasks[[#This Row],[_IsSummary]],MIN(INDEX(Tasks[_LeafTotalSlack],Tasks[[#This Row],[_Row]]+1):INDEX(Tasks[_LeafTotalSlack],Tasks[[#This Row],[_Row]]+Tasks[[#This Row],[_Descendants]])),Tasks[[#This Row],[_LeafTotalSlack]]))</f>
        <v/>
      </c>
      <c r="AH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8" s="28" t="str">
        <f aca="false">IF(Tasks[[#This Row],[Task Name]]="","",IF(IF(Tasks[[#This Row],[_IsSummary]],COUNTIF(INDEX(Tasks[_LeafCritical],Tasks[[#This Row],[_Row]]+1):INDEX(Tasks[_LeafCritical],Tasks[[#This Row],[_Row]]+Tasks[[#This Row],[_Descendants]]),TRUE())&gt;0,Tasks[[#This Row],[_LeafCritical]]),"Yes",""))</f>
        <v/>
      </c>
      <c r="AJ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8" s="89"/>
      <c r="AM1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8" s="28" t="str">
        <f aca="false">IF(Tasks[[#This Row],[Task Name]]="","",IF(Tasks[[#This Row],[Progress]]&gt;=1,"Complete",IF(OR(N(Tasks[[#This Row],[Actual Start]])&gt;0,Tasks[[#This Row],[Progress]]&gt;0),IF(Tasks[[#This Row],[Finish Var]]&gt;0,"Behind","In Progress"),IF(Tasks[[#This Row],[Planned Start]]&lt;StatusDate,"Late Start","Not Started"))))</f>
        <v/>
      </c>
      <c r="AO168" s="30"/>
      <c r="AP168" s="89"/>
      <c r="AQ1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8" s="96" t="str">
        <f aca="false">IF(Tasks[[#This Row],[Task Name]]="","",IF(Tasks[[#This Row],[_IsSummary]],SUM(INDEX(Tasks[_LeafTotalWork],Tasks[[#This Row],[_Row]]+1):INDEX(Tasks[_LeafTotalWork],Tasks[[#This Row],[_Row]]+Tasks[[#This Row],[_Descendants]])),Tasks[[#This Row],[_LeafTotalWork]]))</f>
        <v/>
      </c>
      <c r="AT168" s="97" t="str">
        <f aca="false">IF(Tasks[[#This Row],[Task Name]]="","",IF(Tasks[[#This Row],[_IsSummary]],SUM(INDEX(Tasks[_LeafTotalCost],Tasks[[#This Row],[_Row]]+1):INDEX(Tasks[_LeafTotalCost],Tasks[[#This Row],[_Row]]+Tasks[[#This Row],[_Descendants]])),Tasks[[#This Row],[_LeafTotalCost]]))</f>
        <v/>
      </c>
      <c r="AU168" s="98"/>
      <c r="AV168" s="29"/>
      <c r="AW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8" s="83"/>
      <c r="AY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8" s="30"/>
      <c r="BA168" s="25" t="str">
        <f aca="false">IF(Tasks[[#This Row],[Task Name]]="","",Tasks[[#This Row],[Forecast Start]])</f>
        <v/>
      </c>
      <c r="BB168" s="25" t="str">
        <f aca="false">IF(Tasks[[#This Row],[Task Name]]="","",Tasks[[#This Row],[Forecast Finish]])</f>
        <v/>
      </c>
      <c r="BC168" s="28" t="str">
        <f aca="false">IF(Tasks[[#This Row],[Task Name]]="","",IF(Tasks[[#This Row],[_IsSummary]],NETWORKDAYS.INTL(Tasks[[#This Row],[Forecast Start]],Tasks[[#This Row],[Forecast Finish]],WorkWeek,Holidays),N(Tasks[[#This Row],[Duration]])))</f>
        <v/>
      </c>
      <c r="BD168" s="96" t="str">
        <f aca="false">IF(Tasks[[#This Row],[Task Name]]="","",Tasks[[#This Row],[Work]])</f>
        <v/>
      </c>
      <c r="BE168" s="97" t="str">
        <f aca="false">IF(Tasks[[#This Row],[Task Name]]="","",Tasks[[#This Row],[Cost]])</f>
        <v/>
      </c>
      <c r="BF168" s="75"/>
      <c r="BG168" s="75"/>
      <c r="BH168" s="29"/>
      <c r="BI168" s="99"/>
      <c r="BJ168" s="98"/>
      <c r="BK168" s="28" t="str">
        <f aca="false">IF(OR(Tasks[[#This Row],[Task Name]]="",Tasks[[#This Row],[Baseline Duration]]=""),"",Tasks[[#This Row],[BL Source Duration]]-N(Tasks[[#This Row],[Baseline Duration]]))</f>
        <v/>
      </c>
      <c r="BL168" s="96" t="str">
        <f aca="false">IF(OR(Tasks[[#This Row],[Task Name]]="",Tasks[[#This Row],[Baseline Work]]=""),"",Tasks[[#This Row],[Work]]-N(Tasks[[#This Row],[Baseline Work]]))</f>
        <v/>
      </c>
      <c r="BM168" s="97" t="str">
        <f aca="false">IF(OR(Tasks[[#This Row],[Task Name]]="",Tasks[[#This Row],[Baseline Cost]]=""),"",Tasks[[#This Row],[Cost]]-N(Tasks[[#This Row],[Baseline Cost]]))</f>
        <v/>
      </c>
      <c r="BN168" s="97" t="str">
        <f aca="false">IF(Tasks[[#This Row],[Task Name]]="","",IF(Tasks[[#This Row],[_IsSummary]],SUM(INDEX(Tasks[_LeafBudget],Tasks[[#This Row],[_Row]]+1):INDEX(Tasks[_LeafBudget],Tasks[[#This Row],[_Row]]+Tasks[[#This Row],[_Descendants]])),Tasks[[#This Row],[_LeafBudget]]))</f>
        <v/>
      </c>
      <c r="BO168" s="97" t="str">
        <f aca="false">IF(Tasks[[#This Row],[Task Name]]="","",IF(Tasks[[#This Row],[_IsSummary]],SUM(INDEX(Tasks[_LeafPV],Tasks[[#This Row],[_Row]]+1):INDEX(Tasks[_LeafPV],Tasks[[#This Row],[_Row]]+Tasks[[#This Row],[_Descendants]])),Tasks[[#This Row],[_LeafPV]]))</f>
        <v/>
      </c>
      <c r="BP168" s="97" t="str">
        <f aca="false">IF(Tasks[[#This Row],[Task Name]]="","",IF(Tasks[[#This Row],[_IsSummary]],SUM(INDEX(Tasks[_LeafEV],Tasks[[#This Row],[_Row]]+1):INDEX(Tasks[_LeafEV],Tasks[[#This Row],[_Row]]+Tasks[[#This Row],[_Descendants]])),Tasks[[#This Row],[_LeafEV]]))</f>
        <v/>
      </c>
      <c r="BQ168" s="97" t="str">
        <f aca="false">IF(Tasks[[#This Row],[Task Name]]="","",IF(Tasks[[#This Row],[_IsSummary]],SUM(INDEX(Tasks[_LeafAC],Tasks[[#This Row],[_Row]]+1):INDEX(Tasks[_LeafAC],Tasks[[#This Row],[_Row]]+Tasks[[#This Row],[_Descendants]])),Tasks[[#This Row],[_LeafAC]]))</f>
        <v/>
      </c>
      <c r="BR168" s="41" t="str">
        <f aca="false">IF(Tasks[[#This Row],[Task Name]]="","",MAX(1,N(Tasks[[#This Row],[Level]])))</f>
        <v/>
      </c>
      <c r="BS168" s="41" t="n">
        <f aca="false">ROW()-ROW(Tasks[[#Headers],[ID]])</f>
        <v>163</v>
      </c>
      <c r="BT168" s="41" t="n">
        <f aca="false">IF(OR(Tasks[[#This Row],[Task Name]]="",Tasks[[#This Row],[_Level]]&lt;=1),0,IFERROR(LOOKUP(2,1/(Tasks[[#Headers],[_Level]]:Tasks[[#This Row],[_Level]]=Tasks[[#This Row],[_Level]]-1),ROW(Tasks[[#Headers],[_Level]]:Tasks[[#This Row],[_Level]])),0))</f>
        <v>0</v>
      </c>
      <c r="BU168" s="41" t="n">
        <f aca="false">IFERROR(N(INDEX(Tasks[_Level],Tasks[[#This Row],[_Row]]+1)),0)</f>
        <v>0</v>
      </c>
      <c r="BV168" s="100" t="b">
        <f aca="false">AND(Tasks[[#This Row],[Task Name]]&lt;&gt;"",Tasks[[#This Row],[_NextLevel]]&gt;Tasks[[#This Row],[_Level]])</f>
        <v>0</v>
      </c>
      <c r="BW168" s="41" t="n">
        <f aca="false">IF(Tasks[[#This Row],[_IsSummary]],COUNTIF(Tasks[WBS],Tasks[[#This Row],[WBS]]&amp;".*"),0)</f>
        <v>0</v>
      </c>
      <c r="BX168" s="41" t="n">
        <f aca="false">IF(AND(Tasks[[#This Row],[Task Name]]&lt;&gt;"",NOT(Tasks[[#This Row],[_IsSummary]])),1,0)</f>
        <v>0</v>
      </c>
      <c r="BY168" s="41" t="n">
        <f aca="false">IF(N(Tasks[[#This Row],[Pred1 UID]])=0,0,IFERROR(MATCH(Tasks[[#This Row],[Pred1 UID]],Tasks[UID],0),-1))</f>
        <v>0</v>
      </c>
      <c r="BZ168" s="41" t="n">
        <f aca="false">IF(N(Tasks[[#This Row],[Pred2 UID]])=0,0,IFERROR(MATCH(Tasks[[#This Row],[Pred2 UID]],Tasks[UID],0),-1))</f>
        <v>0</v>
      </c>
      <c r="CA168" s="41" t="n">
        <f aca="false">IF(N(Tasks[[#This Row],[Pred3 UID]])=0,0,IFERROR(MATCH(Tasks[[#This Row],[Pred3 UID]],Tasks[UID],0),-1))</f>
        <v>0</v>
      </c>
      <c r="CB168" s="41" t="n">
        <f aca="false">IF(N(Tasks[[#This Row],[Pred4 UID]])=0,0,IFERROR(MATCH(Tasks[[#This Row],[Pred4 UID]],Tasks[UID],0),-1))</f>
        <v>0</v>
      </c>
      <c r="CC1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8" s="101" t="n">
        <f aca="false">IF(OR(Tasks[[#This Row],[_ConstraintCode]]=2,Tasks[[#This Row],[_ConstraintCode]]=3,Tasks[[#This Row],[_ConstraintCode]]=4,Tasks[[#This Row],[_ConstraintCode]]=6),Tasks[[#This Row],[_ConstraintStart]],0)</f>
        <v>0</v>
      </c>
      <c r="CF168" s="101" t="n">
        <f aca="false">IF(OR(Tasks[[#This Row],[_ConstraintCode]]=2,Tasks[[#This Row],[_ConstraintCode]]=3,Tasks[[#This Row],[_ConstraintCode]]=5,Tasks[[#This Row],[_ConstraintCode]]=7),Tasks[[#This Row],[_ConstraintStart]],2958465)</f>
        <v>2958465</v>
      </c>
      <c r="CG16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8" s="101" t="str">
        <f aca="false">IF(NOT(Tasks[[#This Row],[_IsLeaf]]=1),"",IF(N(Tasks[[#This Row],[Duration]])&lt;=0,Tasks[[#This Row],[_LeafCalcStart]],WORKDAY.INTL(Tasks[[#This Row],[_LeafCalcStart]],Tasks[[#This Row],[Duration]]-1,WorkWeek,Holidays)))</f>
        <v/>
      </c>
      <c r="CI16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8" s="41" t="n">
        <f aca="false">IF(NOT(Tasks[[#This Row],[_IsLeaf]]=1),0,IF(N(Tasks[[#This Row],[Actual Finish]])&gt;0,1,MIN(1,N(Tasks[[#This Row],[% Complete]]))))</f>
        <v>0</v>
      </c>
      <c r="CL168" s="41" t="n">
        <f aca="false">IF(OR(NOT(Tasks[[#This Row],[_IsLeaf]]=1),Tasks[[#This Row],[Resource]]=""),0,N(Tasks[[#This Row],[Duration]])*HoursPerDay*IF(Tasks[[#This Row],[Units]]="",DefaultUnits,Tasks[[#This Row],[Units]]))</f>
        <v>0</v>
      </c>
      <c r="CM168" s="41" t="n">
        <f aca="false">IF(Tasks[[#This Row],[_LeafWork]]=0,0,Tasks[[#This Row],[_LeafWork]]*IFERROR(INDEX(res_Rate,MATCH(Tasks[[#This Row],[Resource]],res_Name,0)),0))</f>
        <v>0</v>
      </c>
      <c r="CN168" s="41" t="n">
        <f aca="false">Tasks[[#This Row],[_LeafWork]]+IF(Tasks[[#This Row],[_IsLeaf]]=1,SUMIFS(asg_Work,asg_TaskUID,Tasks[[#This Row],[UID]],asg_Valid,1),0)</f>
        <v>0</v>
      </c>
      <c r="CO168" s="41" t="n">
        <f aca="false">Tasks[[#This Row],[_LeafCost]]+IF(Tasks[[#This Row],[_IsLeaf]]=1,SUMIFS(asg_Cost,asg_TaskUID,Tasks[[#This Row],[UID]],asg_Valid,1),0)</f>
        <v>0</v>
      </c>
      <c r="CP168" s="41" t="n">
        <f aca="false">IF(Tasks[[#This Row],[_LeafTotalCost]]=0,Tasks[[#This Row],[_LeafAC]],Tasks[[#This Row],[_LeafAC]]*Tasks[[#This Row],[_LeafCost]]/Tasks[[#This Row],[_LeafTotalCost]])</f>
        <v>0</v>
      </c>
      <c r="CQ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8" s="41" t="n">
        <f aca="false">IF(NOT(Tasks[[#This Row],[_IsLeaf]]=1),0,MAX(_xlfn.MAXIFS(Tasks[_Row],Tasks[Pred1 UID],Tasks[[#This Row],[UID]]),_xlfn.MAXIFS(Tasks[_Row],Tasks[Pred2 UID],Tasks[[#This Row],[UID]]),_xlfn.MAXIFS(Tasks[_Row],Tasks[Pred3 UID],Tasks[[#This Row],[UID]]),_xlfn.MAXIFS(Tasks[_Row],Tasks[Pred4 UID],Tasks[[#This Row],[UID]])))</f>
        <v>0</v>
      </c>
      <c r="CZ1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8" s="101" t="str">
        <f aca="false">IF(NOT(Tasks[[#This Row],[_IsLeaf]]=1),"",IF(N(Tasks[[#This Row],[Duration]])&lt;=0,Tasks[[#This Row],[_LeafLateFinish]],WORKDAY.INTL(Tasks[[#This Row],[_LeafLateFinish]],-(Tasks[[#This Row],[Duration]]-1),WorkWeek,Holidays)))</f>
        <v/>
      </c>
      <c r="DC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8" s="100" t="b">
        <f aca="false">AND(Tasks[[#This Row],[_IsLeaf]]=1,Tasks[[#This Row],[_LeafProgress]]&lt;1,N(Tasks[[#This Row],[_LeafTotalSlack]])&lt;=CriticalSlackDays)</f>
        <v>0</v>
      </c>
      <c r="DE168" s="41" t="n">
        <f aca="false">IF(AND(Tasks[[#This Row],[_IsLeaf]]=1,Tasks[[#This Row],[_ConstraintCode]]=1,Tasks[[#This Row],[Mode]]&lt;&gt;"Manual",N(Tasks[[#This Row],[Actual Start]])=0),MAX(0,N(Tasks[[#This Row],[Free Slack]])),0)</f>
        <v>0</v>
      </c>
      <c r="DF168" s="101" t="str">
        <f aca="false">IF(NOT(Tasks[[#This Row],[_IsLeaf]]=1),"",IF(Tasks[[#This Row],[_AlapShift]]=0,Tasks[[#This Row],[_LeafCalcStart]],WORKDAY.INTL(Tasks[[#This Row],[_LeafCalcStart]],Tasks[[#This Row],[_AlapShift]],WorkWeek,Holidays)))</f>
        <v/>
      </c>
      <c r="DG168" s="101" t="str">
        <f aca="false">IF(NOT(Tasks[[#This Row],[_IsLeaf]]=1),"",IF(Tasks[[#This Row],[_AlapShift]]=0,Tasks[[#This Row],[_LeafCalcFinish]],WORKDAY.INTL(Tasks[[#This Row],[_LeafCalcFinish]],Tasks[[#This Row],[_AlapShift]],WorkWeek,Holidays)))</f>
        <v/>
      </c>
      <c r="DH168" s="101" t="str">
        <f aca="false">IF(NOT(Tasks[[#This Row],[_IsLeaf]]=1),"",IF(Tasks[[#This Row],[_AlapShift]]=0,Tasks[[#This Row],[_LeafFcstStart]],WORKDAY.INTL(Tasks[[#This Row],[_LeafFcstStart]],Tasks[[#This Row],[_AlapShift]],WorkWeek,Holidays)))</f>
        <v/>
      </c>
      <c r="DI168" s="101" t="str">
        <f aca="false">IF(NOT(Tasks[[#This Row],[_IsLeaf]]=1),"",IF(Tasks[[#This Row],[_AlapShift]]=0,Tasks[[#This Row],[_LeafFcstFinish]],WORKDAY.INTL(Tasks[[#This Row],[_LeafFcstFinish]],Tasks[[#This Row],[_AlapShift]],WorkWeek,Holidays)))</f>
        <v/>
      </c>
      <c r="DJ168" s="101" t="str">
        <f aca="false">IF(Tasks[[#This Row],[Task Name]]="","",IF(Tasks[[#This Row],[_IsSummary]],MIN(INDEX(Tasks[_ShownCalcStart],Tasks[[#This Row],[_Row]]+1):INDEX(Tasks[_ShownCalcStart],Tasks[[#This Row],[_Row]]+Tasks[[#This Row],[_Descendants]])),Tasks[[#This Row],[_ShownCalcStart]]))</f>
        <v/>
      </c>
      <c r="DK168" s="101" t="str">
        <f aca="false">IF(Tasks[[#This Row],[Task Name]]="","",IF(Tasks[[#This Row],[_IsSummary]],MAX(INDEX(Tasks[_ShownCalcFinish],Tasks[[#This Row],[_Row]]+1):INDEX(Tasks[_ShownCalcFinish],Tasks[[#This Row],[_Row]]+Tasks[[#This Row],[_Descendants]])),Tasks[[#This Row],[_ShownCalcFinish]]))</f>
        <v/>
      </c>
      <c r="D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8" s="41" t="n">
        <f aca="false">IF(AND(Tasks[[#This Row],[_IsLeaf]]=1,Tasks[[#This Row],[_LeafTotalWork]]&gt;0),NETWORKDAYS.INTL(ProjectStart,Tasks[[#This Row],[_ShownFcstStart]],WorkWeek,Holidays),0)</f>
        <v>0</v>
      </c>
      <c r="DY168" s="41" t="n">
        <f aca="false">IF(AND(Tasks[[#This Row],[_IsLeaf]]=1,Tasks[[#This Row],[_LeafTotalWork]]&gt;0),MAX(Tasks[[#This Row],[_StartWorkday]],NETWORKDAYS.INTL(ProjectStart,Tasks[[#This Row],[_ShownFcstFinish]],WorkWeek,Holidays)),0)</f>
        <v>0</v>
      </c>
      <c r="DZ168" s="41" t="n">
        <f aca="false">IF(AND(Tasks[[#This Row],[_IsLeaf]]=1,Tasks[[#This Row],[_LeafTotalWork]]&gt;0),Tasks[[#This Row],[_LeafWork]]/(Tasks[[#This Row],[_FinishWorkday]]-Tasks[[#This Row],[_StartWorkday]]+1),0)</f>
        <v>0</v>
      </c>
      <c r="EA168" s="41" t="n">
        <f aca="false">Tasks[[#This Row],[_WorkPerWorkday]]*(Tasks[[#This Row],[_StartWorkday]]-1)</f>
        <v>-0</v>
      </c>
      <c r="EB168" s="41" t="n">
        <f aca="false">IF(Tasks[[#This Row],[_IsLeaf]]=1,MAX(N(Tasks[[#This Row],[Duration]]),0.1),0)</f>
        <v>0</v>
      </c>
      <c r="EC168" s="41" t="n">
        <f aca="false">Tasks[[#This Row],[_WeightDur]]*Tasks[[#This Row],[_LeafProgress]]</f>
        <v>0</v>
      </c>
      <c r="ED1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8" s="41" t="str">
        <f aca="false">IF(AND(Tasks[[#This Row],[_IsLeaf]]=1,N(Tasks[[#This Row],[Duration]])=0,Tasks[[#This Row],[_LeafProgress]]&lt;1),Tasks[[#This Row],[_ShownFcstFinish]]+Tasks[[#This Row],[_Row]]/100000,"")</f>
        <v/>
      </c>
      <c r="EF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8" s="41" t="n">
        <f aca="false">IF(NOT(Tasks[[#This Row],[_IsLeaf]]=1),0,IF(Tasks[[#This Row],[Baseline Cost]]="",Tasks[[#This Row],[_LeafTotalCost]],N(Tasks[[#This Row],[Baseline Cost]])))</f>
        <v>0</v>
      </c>
      <c r="EH168" s="41" t="n">
        <f aca="false">Tasks[[#This Row],[_LeafBudget]]*Tasks[[#This Row],[_PlannedPct]]</f>
        <v>0</v>
      </c>
      <c r="EI168" s="41" t="n">
        <f aca="false">Tasks[[#This Row],[_LeafBudget]]*Tasks[[#This Row],[_LeafProgress]]</f>
        <v>0</v>
      </c>
      <c r="EJ168" s="41" t="n">
        <f aca="false">IF(NOT(Tasks[[#This Row],[_IsLeaf]]=1),0,IF(Tasks[[#This Row],[Actual Cost]]="",Tasks[[#This Row],[_LeafTotalCost]]*Tasks[[#This Row],[_LeafProgress]],N(Tasks[[#This Row],[Actual Cost]])))</f>
        <v>0</v>
      </c>
      <c r="EK168" s="41" t="str">
        <f aca="false">IF(Tasks[[#This Row],[Task Name]]="","",LEFT(Tasks[[#This Row],[WBS]],FIND(".",Tasks[[#This Row],[WBS]]&amp;".")-1))</f>
        <v/>
      </c>
      <c r="EL168" s="41" t="str">
        <f aca="false">IF(AND(Tasks[[#This Row],[Task Name]]&lt;&gt;"",Tasks[[#This Row],[_Level]]=1),Tasks[[#This Row],[_Row]],"")</f>
        <v/>
      </c>
      <c r="EM168" s="41" t="str">
        <f aca="false">IF(AND(Tasks[[#This Row],[_IsLeaf]]=1,N(Tasks[[#This Row],[Duration]])=0),Tasks[[#This Row],[Planned Finish]]+Tasks[[#This Row],[_Row]]/100000,"")</f>
        <v/>
      </c>
      <c r="EN168" s="41" t="str">
        <f aca="false">IF(AND(Tasks[[#This Row],[_IsLeaf]]=1,Tasks[[#This Row],[_LeafProgress]]&lt;1,OR(N(Tasks[[#This Row],[Finish Var]])&gt;0,Tasks[[#This Row],[Status]]="Late Start")),MAX(0,Tasks[[#This Row],[Finish Var]])+1-Tasks[[#This Row],[_Row]]/1000000,"")</f>
        <v/>
      </c>
      <c r="EO168" s="41" t="str">
        <f aca="false">IF(AND(Tasks[[#This Row],[_IsLeaf]]=1,N(Tasks[[#This Row],[Actual Start]])=0,Tasks[[#This Row],[_ShownFcstStart]]&gt;=StatusDate,Tasks[[#This Row],[_ShownFcstStart]]&lt;=LookaheadEnd),Tasks[[#This Row],[_ShownFcstStart]]+Tasks[[#This Row],[_Row]]/100000,"")</f>
        <v/>
      </c>
      <c r="EP168" s="41" t="str">
        <f aca="false">IF(AND(Tasks[[#This Row],[_IsLeaf]]=1,Tasks[[#This Row],[_LeafProgress]]&lt;1,Tasks[[#This Row],[_ShownFcstFinish]]&gt;=StatusDate,Tasks[[#This Row],[_ShownFcstFinish]]&lt;=LookaheadEnd),Tasks[[#This Row],[_ShownFcstFinish]]+Tasks[[#This Row],[_Row]]/100000,"")</f>
        <v/>
      </c>
      <c r="EQ168" s="41" t="str">
        <f aca="false">IF(Tasks[[#This Row],[_LeafCritical]],Tasks[[#This Row],[_ShownFcstStart]]+Tasks[[#This Row],[_Row]]/100000,"")</f>
        <v/>
      </c>
      <c r="ER168" s="41" t="n">
        <f aca="false">Tasks[[#This Row],[_LeafWork]]*Tasks[[#This Row],[_LeafProgress]]</f>
        <v>0</v>
      </c>
      <c r="ES168" s="101" t="str">
        <f aca="false">IF(AND(Tasks[[#This Row],[_IsLeaf]]=1,Tasks[[#This Row],[_LeafProgress]]&gt;=1),IF(N(Tasks[[#This Row],[Actual Finish]])&gt;0,Tasks[[#This Row],[Actual Finish]],Tasks[[#This Row],[_ShownFcstFinish]]),"")</f>
        <v/>
      </c>
      <c r="ET168" s="41" t="n">
        <f aca="false">IF(Tasks[[#This Row],[_IsLeaf]]=1,N(Tasks[[#This Row],[Story Points]]),0)</f>
        <v>0</v>
      </c>
      <c r="EU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29"/>
      <c r="O169" s="29"/>
      <c r="P169" s="29"/>
      <c r="Q169" s="29"/>
      <c r="R169" s="29"/>
      <c r="S169" s="29"/>
      <c r="T169" s="30"/>
      <c r="U169" s="75"/>
      <c r="V169" s="75"/>
      <c r="W169" s="25" t="str">
        <f aca="false">IF(Tasks[[#This Row],[Task Name]]="","",IF(N(Tasks[[#This Row],[Baseline Start]])&gt;0,Tasks[[#This Row],[Baseline Start]],Tasks[[#This Row],[_CalcStart]]))</f>
        <v/>
      </c>
      <c r="X169" s="25" t="str">
        <f aca="false">IF(Tasks[[#This Row],[Task Name]]="","",IF(N(Tasks[[#This Row],[Baseline Finish]])&gt;0,Tasks[[#This Row],[Baseline Finish]],Tasks[[#This Row],[_CalcFinish]]))</f>
        <v/>
      </c>
      <c r="Y169" s="75"/>
      <c r="Z169" s="75"/>
      <c r="AA169" s="25" t="str">
        <f aca="false">IF(Tasks[[#This Row],[Task Name]]="","",IF(Tasks[[#This Row],[_IsSummary]],MIN(INDEX(Tasks[_ShownFcstStart],Tasks[[#This Row],[_Row]]+1):INDEX(Tasks[_ShownFcstStart],Tasks[[#This Row],[_Row]]+Tasks[[#This Row],[_Descendants]])),Tasks[[#This Row],[_ShownFcstStart]]))</f>
        <v/>
      </c>
      <c r="AB169" s="25" t="str">
        <f aca="false">IF(Tasks[[#This Row],[Task Name]]="","",IF(Tasks[[#This Row],[_IsSummary]],MAX(INDEX(Tasks[_ShownFcstFinish],Tasks[[#This Row],[_Row]]+1):INDEX(Tasks[_ShownFcstFinish],Tasks[[#This Row],[_Row]]+Tasks[[#This Row],[_Descendants]])),Tasks[[#This Row],[_ShownFcstFinish]]))</f>
        <v/>
      </c>
      <c r="AC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9" s="25" t="str">
        <f aca="false">IF(Tasks[[#This Row],[Task Name]]="","",IF(Tasks[[#This Row],[_IsSummary]],MIN(INDEX(Tasks[_LeafLateStart],Tasks[[#This Row],[_Row]]+1):INDEX(Tasks[_LeafLateStart],Tasks[[#This Row],[_Row]]+Tasks[[#This Row],[_Descendants]])),Tasks[[#This Row],[_LeafLateStart]]))</f>
        <v/>
      </c>
      <c r="AF169" s="25" t="str">
        <f aca="false">IF(Tasks[[#This Row],[Task Name]]="","",IF(Tasks[[#This Row],[_IsSummary]],MAX(INDEX(Tasks[_LeafLateFinish],Tasks[[#This Row],[_Row]]+1):INDEX(Tasks[_LeafLateFinish],Tasks[[#This Row],[_Row]]+Tasks[[#This Row],[_Descendants]])),Tasks[[#This Row],[_LeafLateFinish]]))</f>
        <v/>
      </c>
      <c r="AG169" s="28" t="str">
        <f aca="false">IF(Tasks[[#This Row],[Task Name]]="","",IF(Tasks[[#This Row],[_IsSummary]],MIN(INDEX(Tasks[_LeafTotalSlack],Tasks[[#This Row],[_Row]]+1):INDEX(Tasks[_LeafTotalSlack],Tasks[[#This Row],[_Row]]+Tasks[[#This Row],[_Descendants]])),Tasks[[#This Row],[_LeafTotalSlack]]))</f>
        <v/>
      </c>
      <c r="AH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9" s="28" t="str">
        <f aca="false">IF(Tasks[[#This Row],[Task Name]]="","",IF(IF(Tasks[[#This Row],[_IsSummary]],COUNTIF(INDEX(Tasks[_LeafCritical],Tasks[[#This Row],[_Row]]+1):INDEX(Tasks[_LeafCritical],Tasks[[#This Row],[_Row]]+Tasks[[#This Row],[_Descendants]]),TRUE())&gt;0,Tasks[[#This Row],[_LeafCritical]]),"Yes",""))</f>
        <v/>
      </c>
      <c r="AJ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9" s="89"/>
      <c r="AM1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9" s="28" t="str">
        <f aca="false">IF(Tasks[[#This Row],[Task Name]]="","",IF(Tasks[[#This Row],[Progress]]&gt;=1,"Complete",IF(OR(N(Tasks[[#This Row],[Actual Start]])&gt;0,Tasks[[#This Row],[Progress]]&gt;0),IF(Tasks[[#This Row],[Finish Var]]&gt;0,"Behind","In Progress"),IF(Tasks[[#This Row],[Planned Start]]&lt;StatusDate,"Late Start","Not Started"))))</f>
        <v/>
      </c>
      <c r="AO169" s="30"/>
      <c r="AP169" s="89"/>
      <c r="AQ1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9" s="96" t="str">
        <f aca="false">IF(Tasks[[#This Row],[Task Name]]="","",IF(Tasks[[#This Row],[_IsSummary]],SUM(INDEX(Tasks[_LeafTotalWork],Tasks[[#This Row],[_Row]]+1):INDEX(Tasks[_LeafTotalWork],Tasks[[#This Row],[_Row]]+Tasks[[#This Row],[_Descendants]])),Tasks[[#This Row],[_LeafTotalWork]]))</f>
        <v/>
      </c>
      <c r="AT169" s="97" t="str">
        <f aca="false">IF(Tasks[[#This Row],[Task Name]]="","",IF(Tasks[[#This Row],[_IsSummary]],SUM(INDEX(Tasks[_LeafTotalCost],Tasks[[#This Row],[_Row]]+1):INDEX(Tasks[_LeafTotalCost],Tasks[[#This Row],[_Row]]+Tasks[[#This Row],[_Descendants]])),Tasks[[#This Row],[_LeafTotalCost]]))</f>
        <v/>
      </c>
      <c r="AU169" s="98"/>
      <c r="AV169" s="29"/>
      <c r="AW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9" s="83"/>
      <c r="AY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9" s="30"/>
      <c r="BA169" s="25" t="str">
        <f aca="false">IF(Tasks[[#This Row],[Task Name]]="","",Tasks[[#This Row],[Forecast Start]])</f>
        <v/>
      </c>
      <c r="BB169" s="25" t="str">
        <f aca="false">IF(Tasks[[#This Row],[Task Name]]="","",Tasks[[#This Row],[Forecast Finish]])</f>
        <v/>
      </c>
      <c r="BC169" s="28" t="str">
        <f aca="false">IF(Tasks[[#This Row],[Task Name]]="","",IF(Tasks[[#This Row],[_IsSummary]],NETWORKDAYS.INTL(Tasks[[#This Row],[Forecast Start]],Tasks[[#This Row],[Forecast Finish]],WorkWeek,Holidays),N(Tasks[[#This Row],[Duration]])))</f>
        <v/>
      </c>
      <c r="BD169" s="96" t="str">
        <f aca="false">IF(Tasks[[#This Row],[Task Name]]="","",Tasks[[#This Row],[Work]])</f>
        <v/>
      </c>
      <c r="BE169" s="97" t="str">
        <f aca="false">IF(Tasks[[#This Row],[Task Name]]="","",Tasks[[#This Row],[Cost]])</f>
        <v/>
      </c>
      <c r="BF169" s="75"/>
      <c r="BG169" s="75"/>
      <c r="BH169" s="29"/>
      <c r="BI169" s="99"/>
      <c r="BJ169" s="98"/>
      <c r="BK169" s="28" t="str">
        <f aca="false">IF(OR(Tasks[[#This Row],[Task Name]]="",Tasks[[#This Row],[Baseline Duration]]=""),"",Tasks[[#This Row],[BL Source Duration]]-N(Tasks[[#This Row],[Baseline Duration]]))</f>
        <v/>
      </c>
      <c r="BL169" s="96" t="str">
        <f aca="false">IF(OR(Tasks[[#This Row],[Task Name]]="",Tasks[[#This Row],[Baseline Work]]=""),"",Tasks[[#This Row],[Work]]-N(Tasks[[#This Row],[Baseline Work]]))</f>
        <v/>
      </c>
      <c r="BM169" s="97" t="str">
        <f aca="false">IF(OR(Tasks[[#This Row],[Task Name]]="",Tasks[[#This Row],[Baseline Cost]]=""),"",Tasks[[#This Row],[Cost]]-N(Tasks[[#This Row],[Baseline Cost]]))</f>
        <v/>
      </c>
      <c r="BN169" s="97" t="str">
        <f aca="false">IF(Tasks[[#This Row],[Task Name]]="","",IF(Tasks[[#This Row],[_IsSummary]],SUM(INDEX(Tasks[_LeafBudget],Tasks[[#This Row],[_Row]]+1):INDEX(Tasks[_LeafBudget],Tasks[[#This Row],[_Row]]+Tasks[[#This Row],[_Descendants]])),Tasks[[#This Row],[_LeafBudget]]))</f>
        <v/>
      </c>
      <c r="BO169" s="97" t="str">
        <f aca="false">IF(Tasks[[#This Row],[Task Name]]="","",IF(Tasks[[#This Row],[_IsSummary]],SUM(INDEX(Tasks[_LeafPV],Tasks[[#This Row],[_Row]]+1):INDEX(Tasks[_LeafPV],Tasks[[#This Row],[_Row]]+Tasks[[#This Row],[_Descendants]])),Tasks[[#This Row],[_LeafPV]]))</f>
        <v/>
      </c>
      <c r="BP169" s="97" t="str">
        <f aca="false">IF(Tasks[[#This Row],[Task Name]]="","",IF(Tasks[[#This Row],[_IsSummary]],SUM(INDEX(Tasks[_LeafEV],Tasks[[#This Row],[_Row]]+1):INDEX(Tasks[_LeafEV],Tasks[[#This Row],[_Row]]+Tasks[[#This Row],[_Descendants]])),Tasks[[#This Row],[_LeafEV]]))</f>
        <v/>
      </c>
      <c r="BQ169" s="97" t="str">
        <f aca="false">IF(Tasks[[#This Row],[Task Name]]="","",IF(Tasks[[#This Row],[_IsSummary]],SUM(INDEX(Tasks[_LeafAC],Tasks[[#This Row],[_Row]]+1):INDEX(Tasks[_LeafAC],Tasks[[#This Row],[_Row]]+Tasks[[#This Row],[_Descendants]])),Tasks[[#This Row],[_LeafAC]]))</f>
        <v/>
      </c>
      <c r="BR169" s="41" t="str">
        <f aca="false">IF(Tasks[[#This Row],[Task Name]]="","",MAX(1,N(Tasks[[#This Row],[Level]])))</f>
        <v/>
      </c>
      <c r="BS169" s="41" t="n">
        <f aca="false">ROW()-ROW(Tasks[[#Headers],[ID]])</f>
        <v>164</v>
      </c>
      <c r="BT169" s="41" t="n">
        <f aca="false">IF(OR(Tasks[[#This Row],[Task Name]]="",Tasks[[#This Row],[_Level]]&lt;=1),0,IFERROR(LOOKUP(2,1/(Tasks[[#Headers],[_Level]]:Tasks[[#This Row],[_Level]]=Tasks[[#This Row],[_Level]]-1),ROW(Tasks[[#Headers],[_Level]]:Tasks[[#This Row],[_Level]])),0))</f>
        <v>0</v>
      </c>
      <c r="BU169" s="41" t="n">
        <f aca="false">IFERROR(N(INDEX(Tasks[_Level],Tasks[[#This Row],[_Row]]+1)),0)</f>
        <v>0</v>
      </c>
      <c r="BV169" s="100" t="b">
        <f aca="false">AND(Tasks[[#This Row],[Task Name]]&lt;&gt;"",Tasks[[#This Row],[_NextLevel]]&gt;Tasks[[#This Row],[_Level]])</f>
        <v>0</v>
      </c>
      <c r="BW169" s="41" t="n">
        <f aca="false">IF(Tasks[[#This Row],[_IsSummary]],COUNTIF(Tasks[WBS],Tasks[[#This Row],[WBS]]&amp;".*"),0)</f>
        <v>0</v>
      </c>
      <c r="BX169" s="41" t="n">
        <f aca="false">IF(AND(Tasks[[#This Row],[Task Name]]&lt;&gt;"",NOT(Tasks[[#This Row],[_IsSummary]])),1,0)</f>
        <v>0</v>
      </c>
      <c r="BY169" s="41" t="n">
        <f aca="false">IF(N(Tasks[[#This Row],[Pred1 UID]])=0,0,IFERROR(MATCH(Tasks[[#This Row],[Pred1 UID]],Tasks[UID],0),-1))</f>
        <v>0</v>
      </c>
      <c r="BZ169" s="41" t="n">
        <f aca="false">IF(N(Tasks[[#This Row],[Pred2 UID]])=0,0,IFERROR(MATCH(Tasks[[#This Row],[Pred2 UID]],Tasks[UID],0),-1))</f>
        <v>0</v>
      </c>
      <c r="CA169" s="41" t="n">
        <f aca="false">IF(N(Tasks[[#This Row],[Pred3 UID]])=0,0,IFERROR(MATCH(Tasks[[#This Row],[Pred3 UID]],Tasks[UID],0),-1))</f>
        <v>0</v>
      </c>
      <c r="CB169" s="41" t="n">
        <f aca="false">IF(N(Tasks[[#This Row],[Pred4 UID]])=0,0,IFERROR(MATCH(Tasks[[#This Row],[Pred4 UID]],Tasks[UID],0),-1))</f>
        <v>0</v>
      </c>
      <c r="CC1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9" s="101" t="n">
        <f aca="false">IF(OR(Tasks[[#This Row],[_ConstraintCode]]=2,Tasks[[#This Row],[_ConstraintCode]]=3,Tasks[[#This Row],[_ConstraintCode]]=4,Tasks[[#This Row],[_ConstraintCode]]=6),Tasks[[#This Row],[_ConstraintStart]],0)</f>
        <v>0</v>
      </c>
      <c r="CF169" s="101" t="n">
        <f aca="false">IF(OR(Tasks[[#This Row],[_ConstraintCode]]=2,Tasks[[#This Row],[_ConstraintCode]]=3,Tasks[[#This Row],[_ConstraintCode]]=5,Tasks[[#This Row],[_ConstraintCode]]=7),Tasks[[#This Row],[_ConstraintStart]],2958465)</f>
        <v>2958465</v>
      </c>
      <c r="CG16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9" s="101" t="str">
        <f aca="false">IF(NOT(Tasks[[#This Row],[_IsLeaf]]=1),"",IF(N(Tasks[[#This Row],[Duration]])&lt;=0,Tasks[[#This Row],[_LeafCalcStart]],WORKDAY.INTL(Tasks[[#This Row],[_LeafCalcStart]],Tasks[[#This Row],[Duration]]-1,WorkWeek,Holidays)))</f>
        <v/>
      </c>
      <c r="CI16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9" s="41" t="n">
        <f aca="false">IF(NOT(Tasks[[#This Row],[_IsLeaf]]=1),0,IF(N(Tasks[[#This Row],[Actual Finish]])&gt;0,1,MIN(1,N(Tasks[[#This Row],[% Complete]]))))</f>
        <v>0</v>
      </c>
      <c r="CL169" s="41" t="n">
        <f aca="false">IF(OR(NOT(Tasks[[#This Row],[_IsLeaf]]=1),Tasks[[#This Row],[Resource]]=""),0,N(Tasks[[#This Row],[Duration]])*HoursPerDay*IF(Tasks[[#This Row],[Units]]="",DefaultUnits,Tasks[[#This Row],[Units]]))</f>
        <v>0</v>
      </c>
      <c r="CM169" s="41" t="n">
        <f aca="false">IF(Tasks[[#This Row],[_LeafWork]]=0,0,Tasks[[#This Row],[_LeafWork]]*IFERROR(INDEX(res_Rate,MATCH(Tasks[[#This Row],[Resource]],res_Name,0)),0))</f>
        <v>0</v>
      </c>
      <c r="CN169" s="41" t="n">
        <f aca="false">Tasks[[#This Row],[_LeafWork]]+IF(Tasks[[#This Row],[_IsLeaf]]=1,SUMIFS(asg_Work,asg_TaskUID,Tasks[[#This Row],[UID]],asg_Valid,1),0)</f>
        <v>0</v>
      </c>
      <c r="CO169" s="41" t="n">
        <f aca="false">Tasks[[#This Row],[_LeafCost]]+IF(Tasks[[#This Row],[_IsLeaf]]=1,SUMIFS(asg_Cost,asg_TaskUID,Tasks[[#This Row],[UID]],asg_Valid,1),0)</f>
        <v>0</v>
      </c>
      <c r="CP169" s="41" t="n">
        <f aca="false">IF(Tasks[[#This Row],[_LeafTotalCost]]=0,Tasks[[#This Row],[_LeafAC]],Tasks[[#This Row],[_LeafAC]]*Tasks[[#This Row],[_LeafCost]]/Tasks[[#This Row],[_LeafTotalCost]])</f>
        <v>0</v>
      </c>
      <c r="CQ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9" s="41" t="n">
        <f aca="false">IF(NOT(Tasks[[#This Row],[_IsLeaf]]=1),0,MAX(_xlfn.MAXIFS(Tasks[_Row],Tasks[Pred1 UID],Tasks[[#This Row],[UID]]),_xlfn.MAXIFS(Tasks[_Row],Tasks[Pred2 UID],Tasks[[#This Row],[UID]]),_xlfn.MAXIFS(Tasks[_Row],Tasks[Pred3 UID],Tasks[[#This Row],[UID]]),_xlfn.MAXIFS(Tasks[_Row],Tasks[Pred4 UID],Tasks[[#This Row],[UID]])))</f>
        <v>0</v>
      </c>
      <c r="CZ1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9" s="101" t="str">
        <f aca="false">IF(NOT(Tasks[[#This Row],[_IsLeaf]]=1),"",IF(N(Tasks[[#This Row],[Duration]])&lt;=0,Tasks[[#This Row],[_LeafLateFinish]],WORKDAY.INTL(Tasks[[#This Row],[_LeafLateFinish]],-(Tasks[[#This Row],[Duration]]-1),WorkWeek,Holidays)))</f>
        <v/>
      </c>
      <c r="DC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9" s="100" t="b">
        <f aca="false">AND(Tasks[[#This Row],[_IsLeaf]]=1,Tasks[[#This Row],[_LeafProgress]]&lt;1,N(Tasks[[#This Row],[_LeafTotalSlack]])&lt;=CriticalSlackDays)</f>
        <v>0</v>
      </c>
      <c r="DE169" s="41" t="n">
        <f aca="false">IF(AND(Tasks[[#This Row],[_IsLeaf]]=1,Tasks[[#This Row],[_ConstraintCode]]=1,Tasks[[#This Row],[Mode]]&lt;&gt;"Manual",N(Tasks[[#This Row],[Actual Start]])=0),MAX(0,N(Tasks[[#This Row],[Free Slack]])),0)</f>
        <v>0</v>
      </c>
      <c r="DF169" s="101" t="str">
        <f aca="false">IF(NOT(Tasks[[#This Row],[_IsLeaf]]=1),"",IF(Tasks[[#This Row],[_AlapShift]]=0,Tasks[[#This Row],[_LeafCalcStart]],WORKDAY.INTL(Tasks[[#This Row],[_LeafCalcStart]],Tasks[[#This Row],[_AlapShift]],WorkWeek,Holidays)))</f>
        <v/>
      </c>
      <c r="DG169" s="101" t="str">
        <f aca="false">IF(NOT(Tasks[[#This Row],[_IsLeaf]]=1),"",IF(Tasks[[#This Row],[_AlapShift]]=0,Tasks[[#This Row],[_LeafCalcFinish]],WORKDAY.INTL(Tasks[[#This Row],[_LeafCalcFinish]],Tasks[[#This Row],[_AlapShift]],WorkWeek,Holidays)))</f>
        <v/>
      </c>
      <c r="DH169" s="101" t="str">
        <f aca="false">IF(NOT(Tasks[[#This Row],[_IsLeaf]]=1),"",IF(Tasks[[#This Row],[_AlapShift]]=0,Tasks[[#This Row],[_LeafFcstStart]],WORKDAY.INTL(Tasks[[#This Row],[_LeafFcstStart]],Tasks[[#This Row],[_AlapShift]],WorkWeek,Holidays)))</f>
        <v/>
      </c>
      <c r="DI169" s="101" t="str">
        <f aca="false">IF(NOT(Tasks[[#This Row],[_IsLeaf]]=1),"",IF(Tasks[[#This Row],[_AlapShift]]=0,Tasks[[#This Row],[_LeafFcstFinish]],WORKDAY.INTL(Tasks[[#This Row],[_LeafFcstFinish]],Tasks[[#This Row],[_AlapShift]],WorkWeek,Holidays)))</f>
        <v/>
      </c>
      <c r="DJ169" s="101" t="str">
        <f aca="false">IF(Tasks[[#This Row],[Task Name]]="","",IF(Tasks[[#This Row],[_IsSummary]],MIN(INDEX(Tasks[_ShownCalcStart],Tasks[[#This Row],[_Row]]+1):INDEX(Tasks[_ShownCalcStart],Tasks[[#This Row],[_Row]]+Tasks[[#This Row],[_Descendants]])),Tasks[[#This Row],[_ShownCalcStart]]))</f>
        <v/>
      </c>
      <c r="DK169" s="101" t="str">
        <f aca="false">IF(Tasks[[#This Row],[Task Name]]="","",IF(Tasks[[#This Row],[_IsSummary]],MAX(INDEX(Tasks[_ShownCalcFinish],Tasks[[#This Row],[_Row]]+1):INDEX(Tasks[_ShownCalcFinish],Tasks[[#This Row],[_Row]]+Tasks[[#This Row],[_Descendants]])),Tasks[[#This Row],[_ShownCalcFinish]]))</f>
        <v/>
      </c>
      <c r="D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9" s="41" t="n">
        <f aca="false">IF(AND(Tasks[[#This Row],[_IsLeaf]]=1,Tasks[[#This Row],[_LeafTotalWork]]&gt;0),NETWORKDAYS.INTL(ProjectStart,Tasks[[#This Row],[_ShownFcstStart]],WorkWeek,Holidays),0)</f>
        <v>0</v>
      </c>
      <c r="DY169" s="41" t="n">
        <f aca="false">IF(AND(Tasks[[#This Row],[_IsLeaf]]=1,Tasks[[#This Row],[_LeafTotalWork]]&gt;0),MAX(Tasks[[#This Row],[_StartWorkday]],NETWORKDAYS.INTL(ProjectStart,Tasks[[#This Row],[_ShownFcstFinish]],WorkWeek,Holidays)),0)</f>
        <v>0</v>
      </c>
      <c r="DZ169" s="41" t="n">
        <f aca="false">IF(AND(Tasks[[#This Row],[_IsLeaf]]=1,Tasks[[#This Row],[_LeafTotalWork]]&gt;0),Tasks[[#This Row],[_LeafWork]]/(Tasks[[#This Row],[_FinishWorkday]]-Tasks[[#This Row],[_StartWorkday]]+1),0)</f>
        <v>0</v>
      </c>
      <c r="EA169" s="41" t="n">
        <f aca="false">Tasks[[#This Row],[_WorkPerWorkday]]*(Tasks[[#This Row],[_StartWorkday]]-1)</f>
        <v>-0</v>
      </c>
      <c r="EB169" s="41" t="n">
        <f aca="false">IF(Tasks[[#This Row],[_IsLeaf]]=1,MAX(N(Tasks[[#This Row],[Duration]]),0.1),0)</f>
        <v>0</v>
      </c>
      <c r="EC169" s="41" t="n">
        <f aca="false">Tasks[[#This Row],[_WeightDur]]*Tasks[[#This Row],[_LeafProgress]]</f>
        <v>0</v>
      </c>
      <c r="ED1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9" s="41" t="str">
        <f aca="false">IF(AND(Tasks[[#This Row],[_IsLeaf]]=1,N(Tasks[[#This Row],[Duration]])=0,Tasks[[#This Row],[_LeafProgress]]&lt;1),Tasks[[#This Row],[_ShownFcstFinish]]+Tasks[[#This Row],[_Row]]/100000,"")</f>
        <v/>
      </c>
      <c r="EF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9" s="41" t="n">
        <f aca="false">IF(NOT(Tasks[[#This Row],[_IsLeaf]]=1),0,IF(Tasks[[#This Row],[Baseline Cost]]="",Tasks[[#This Row],[_LeafTotalCost]],N(Tasks[[#This Row],[Baseline Cost]])))</f>
        <v>0</v>
      </c>
      <c r="EH169" s="41" t="n">
        <f aca="false">Tasks[[#This Row],[_LeafBudget]]*Tasks[[#This Row],[_PlannedPct]]</f>
        <v>0</v>
      </c>
      <c r="EI169" s="41" t="n">
        <f aca="false">Tasks[[#This Row],[_LeafBudget]]*Tasks[[#This Row],[_LeafProgress]]</f>
        <v>0</v>
      </c>
      <c r="EJ169" s="41" t="n">
        <f aca="false">IF(NOT(Tasks[[#This Row],[_IsLeaf]]=1),0,IF(Tasks[[#This Row],[Actual Cost]]="",Tasks[[#This Row],[_LeafTotalCost]]*Tasks[[#This Row],[_LeafProgress]],N(Tasks[[#This Row],[Actual Cost]])))</f>
        <v>0</v>
      </c>
      <c r="EK169" s="41" t="str">
        <f aca="false">IF(Tasks[[#This Row],[Task Name]]="","",LEFT(Tasks[[#This Row],[WBS]],FIND(".",Tasks[[#This Row],[WBS]]&amp;".")-1))</f>
        <v/>
      </c>
      <c r="EL169" s="41" t="str">
        <f aca="false">IF(AND(Tasks[[#This Row],[Task Name]]&lt;&gt;"",Tasks[[#This Row],[_Level]]=1),Tasks[[#This Row],[_Row]],"")</f>
        <v/>
      </c>
      <c r="EM169" s="41" t="str">
        <f aca="false">IF(AND(Tasks[[#This Row],[_IsLeaf]]=1,N(Tasks[[#This Row],[Duration]])=0),Tasks[[#This Row],[Planned Finish]]+Tasks[[#This Row],[_Row]]/100000,"")</f>
        <v/>
      </c>
      <c r="EN169" s="41" t="str">
        <f aca="false">IF(AND(Tasks[[#This Row],[_IsLeaf]]=1,Tasks[[#This Row],[_LeafProgress]]&lt;1,OR(N(Tasks[[#This Row],[Finish Var]])&gt;0,Tasks[[#This Row],[Status]]="Late Start")),MAX(0,Tasks[[#This Row],[Finish Var]])+1-Tasks[[#This Row],[_Row]]/1000000,"")</f>
        <v/>
      </c>
      <c r="EO169" s="41" t="str">
        <f aca="false">IF(AND(Tasks[[#This Row],[_IsLeaf]]=1,N(Tasks[[#This Row],[Actual Start]])=0,Tasks[[#This Row],[_ShownFcstStart]]&gt;=StatusDate,Tasks[[#This Row],[_ShownFcstStart]]&lt;=LookaheadEnd),Tasks[[#This Row],[_ShownFcstStart]]+Tasks[[#This Row],[_Row]]/100000,"")</f>
        <v/>
      </c>
      <c r="EP169" s="41" t="str">
        <f aca="false">IF(AND(Tasks[[#This Row],[_IsLeaf]]=1,Tasks[[#This Row],[_LeafProgress]]&lt;1,Tasks[[#This Row],[_ShownFcstFinish]]&gt;=StatusDate,Tasks[[#This Row],[_ShownFcstFinish]]&lt;=LookaheadEnd),Tasks[[#This Row],[_ShownFcstFinish]]+Tasks[[#This Row],[_Row]]/100000,"")</f>
        <v/>
      </c>
      <c r="EQ169" s="41" t="str">
        <f aca="false">IF(Tasks[[#This Row],[_LeafCritical]],Tasks[[#This Row],[_ShownFcstStart]]+Tasks[[#This Row],[_Row]]/100000,"")</f>
        <v/>
      </c>
      <c r="ER169" s="41" t="n">
        <f aca="false">Tasks[[#This Row],[_LeafWork]]*Tasks[[#This Row],[_LeafProgress]]</f>
        <v>0</v>
      </c>
      <c r="ES169" s="101" t="str">
        <f aca="false">IF(AND(Tasks[[#This Row],[_IsLeaf]]=1,Tasks[[#This Row],[_LeafProgress]]&gt;=1),IF(N(Tasks[[#This Row],[Actual Finish]])&gt;0,Tasks[[#This Row],[Actual Finish]],Tasks[[#This Row],[_ShownFcstFinish]]),"")</f>
        <v/>
      </c>
      <c r="ET169" s="41" t="n">
        <f aca="false">IF(Tasks[[#This Row],[_IsLeaf]]=1,N(Tasks[[#This Row],[Story Points]]),0)</f>
        <v>0</v>
      </c>
      <c r="EU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29"/>
      <c r="O170" s="29"/>
      <c r="P170" s="29"/>
      <c r="Q170" s="29"/>
      <c r="R170" s="29"/>
      <c r="S170" s="29"/>
      <c r="T170" s="30"/>
      <c r="U170" s="75"/>
      <c r="V170" s="75"/>
      <c r="W170" s="25" t="str">
        <f aca="false">IF(Tasks[[#This Row],[Task Name]]="","",IF(N(Tasks[[#This Row],[Baseline Start]])&gt;0,Tasks[[#This Row],[Baseline Start]],Tasks[[#This Row],[_CalcStart]]))</f>
        <v/>
      </c>
      <c r="X170" s="25" t="str">
        <f aca="false">IF(Tasks[[#This Row],[Task Name]]="","",IF(N(Tasks[[#This Row],[Baseline Finish]])&gt;0,Tasks[[#This Row],[Baseline Finish]],Tasks[[#This Row],[_CalcFinish]]))</f>
        <v/>
      </c>
      <c r="Y170" s="75"/>
      <c r="Z170" s="75"/>
      <c r="AA170" s="25" t="str">
        <f aca="false">IF(Tasks[[#This Row],[Task Name]]="","",IF(Tasks[[#This Row],[_IsSummary]],MIN(INDEX(Tasks[_ShownFcstStart],Tasks[[#This Row],[_Row]]+1):INDEX(Tasks[_ShownFcstStart],Tasks[[#This Row],[_Row]]+Tasks[[#This Row],[_Descendants]])),Tasks[[#This Row],[_ShownFcstStart]]))</f>
        <v/>
      </c>
      <c r="AB170" s="25" t="str">
        <f aca="false">IF(Tasks[[#This Row],[Task Name]]="","",IF(Tasks[[#This Row],[_IsSummary]],MAX(INDEX(Tasks[_ShownFcstFinish],Tasks[[#This Row],[_Row]]+1):INDEX(Tasks[_ShownFcstFinish],Tasks[[#This Row],[_Row]]+Tasks[[#This Row],[_Descendants]])),Tasks[[#This Row],[_ShownFcstFinish]]))</f>
        <v/>
      </c>
      <c r="AC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0" s="25" t="str">
        <f aca="false">IF(Tasks[[#This Row],[Task Name]]="","",IF(Tasks[[#This Row],[_IsSummary]],MIN(INDEX(Tasks[_LeafLateStart],Tasks[[#This Row],[_Row]]+1):INDEX(Tasks[_LeafLateStart],Tasks[[#This Row],[_Row]]+Tasks[[#This Row],[_Descendants]])),Tasks[[#This Row],[_LeafLateStart]]))</f>
        <v/>
      </c>
      <c r="AF170" s="25" t="str">
        <f aca="false">IF(Tasks[[#This Row],[Task Name]]="","",IF(Tasks[[#This Row],[_IsSummary]],MAX(INDEX(Tasks[_LeafLateFinish],Tasks[[#This Row],[_Row]]+1):INDEX(Tasks[_LeafLateFinish],Tasks[[#This Row],[_Row]]+Tasks[[#This Row],[_Descendants]])),Tasks[[#This Row],[_LeafLateFinish]]))</f>
        <v/>
      </c>
      <c r="AG170" s="28" t="str">
        <f aca="false">IF(Tasks[[#This Row],[Task Name]]="","",IF(Tasks[[#This Row],[_IsSummary]],MIN(INDEX(Tasks[_LeafTotalSlack],Tasks[[#This Row],[_Row]]+1):INDEX(Tasks[_LeafTotalSlack],Tasks[[#This Row],[_Row]]+Tasks[[#This Row],[_Descendants]])),Tasks[[#This Row],[_LeafTotalSlack]]))</f>
        <v/>
      </c>
      <c r="AH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0" s="28" t="str">
        <f aca="false">IF(Tasks[[#This Row],[Task Name]]="","",IF(IF(Tasks[[#This Row],[_IsSummary]],COUNTIF(INDEX(Tasks[_LeafCritical],Tasks[[#This Row],[_Row]]+1):INDEX(Tasks[_LeafCritical],Tasks[[#This Row],[_Row]]+Tasks[[#This Row],[_Descendants]]),TRUE())&gt;0,Tasks[[#This Row],[_LeafCritical]]),"Yes",""))</f>
        <v/>
      </c>
      <c r="AJ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0" s="89"/>
      <c r="AM1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0" s="28" t="str">
        <f aca="false">IF(Tasks[[#This Row],[Task Name]]="","",IF(Tasks[[#This Row],[Progress]]&gt;=1,"Complete",IF(OR(N(Tasks[[#This Row],[Actual Start]])&gt;0,Tasks[[#This Row],[Progress]]&gt;0),IF(Tasks[[#This Row],[Finish Var]]&gt;0,"Behind","In Progress"),IF(Tasks[[#This Row],[Planned Start]]&lt;StatusDate,"Late Start","Not Started"))))</f>
        <v/>
      </c>
      <c r="AO170" s="30"/>
      <c r="AP170" s="89"/>
      <c r="AQ1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0" s="96" t="str">
        <f aca="false">IF(Tasks[[#This Row],[Task Name]]="","",IF(Tasks[[#This Row],[_IsSummary]],SUM(INDEX(Tasks[_LeafTotalWork],Tasks[[#This Row],[_Row]]+1):INDEX(Tasks[_LeafTotalWork],Tasks[[#This Row],[_Row]]+Tasks[[#This Row],[_Descendants]])),Tasks[[#This Row],[_LeafTotalWork]]))</f>
        <v/>
      </c>
      <c r="AT170" s="97" t="str">
        <f aca="false">IF(Tasks[[#This Row],[Task Name]]="","",IF(Tasks[[#This Row],[_IsSummary]],SUM(INDEX(Tasks[_LeafTotalCost],Tasks[[#This Row],[_Row]]+1):INDEX(Tasks[_LeafTotalCost],Tasks[[#This Row],[_Row]]+Tasks[[#This Row],[_Descendants]])),Tasks[[#This Row],[_LeafTotalCost]]))</f>
        <v/>
      </c>
      <c r="AU170" s="98"/>
      <c r="AV170" s="29"/>
      <c r="AW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0" s="83"/>
      <c r="AY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0" s="30"/>
      <c r="BA170" s="25" t="str">
        <f aca="false">IF(Tasks[[#This Row],[Task Name]]="","",Tasks[[#This Row],[Forecast Start]])</f>
        <v/>
      </c>
      <c r="BB170" s="25" t="str">
        <f aca="false">IF(Tasks[[#This Row],[Task Name]]="","",Tasks[[#This Row],[Forecast Finish]])</f>
        <v/>
      </c>
      <c r="BC170" s="28" t="str">
        <f aca="false">IF(Tasks[[#This Row],[Task Name]]="","",IF(Tasks[[#This Row],[_IsSummary]],NETWORKDAYS.INTL(Tasks[[#This Row],[Forecast Start]],Tasks[[#This Row],[Forecast Finish]],WorkWeek,Holidays),N(Tasks[[#This Row],[Duration]])))</f>
        <v/>
      </c>
      <c r="BD170" s="96" t="str">
        <f aca="false">IF(Tasks[[#This Row],[Task Name]]="","",Tasks[[#This Row],[Work]])</f>
        <v/>
      </c>
      <c r="BE170" s="97" t="str">
        <f aca="false">IF(Tasks[[#This Row],[Task Name]]="","",Tasks[[#This Row],[Cost]])</f>
        <v/>
      </c>
      <c r="BF170" s="75"/>
      <c r="BG170" s="75"/>
      <c r="BH170" s="29"/>
      <c r="BI170" s="99"/>
      <c r="BJ170" s="98"/>
      <c r="BK170" s="28" t="str">
        <f aca="false">IF(OR(Tasks[[#This Row],[Task Name]]="",Tasks[[#This Row],[Baseline Duration]]=""),"",Tasks[[#This Row],[BL Source Duration]]-N(Tasks[[#This Row],[Baseline Duration]]))</f>
        <v/>
      </c>
      <c r="BL170" s="96" t="str">
        <f aca="false">IF(OR(Tasks[[#This Row],[Task Name]]="",Tasks[[#This Row],[Baseline Work]]=""),"",Tasks[[#This Row],[Work]]-N(Tasks[[#This Row],[Baseline Work]]))</f>
        <v/>
      </c>
      <c r="BM170" s="97" t="str">
        <f aca="false">IF(OR(Tasks[[#This Row],[Task Name]]="",Tasks[[#This Row],[Baseline Cost]]=""),"",Tasks[[#This Row],[Cost]]-N(Tasks[[#This Row],[Baseline Cost]]))</f>
        <v/>
      </c>
      <c r="BN170" s="97" t="str">
        <f aca="false">IF(Tasks[[#This Row],[Task Name]]="","",IF(Tasks[[#This Row],[_IsSummary]],SUM(INDEX(Tasks[_LeafBudget],Tasks[[#This Row],[_Row]]+1):INDEX(Tasks[_LeafBudget],Tasks[[#This Row],[_Row]]+Tasks[[#This Row],[_Descendants]])),Tasks[[#This Row],[_LeafBudget]]))</f>
        <v/>
      </c>
      <c r="BO170" s="97" t="str">
        <f aca="false">IF(Tasks[[#This Row],[Task Name]]="","",IF(Tasks[[#This Row],[_IsSummary]],SUM(INDEX(Tasks[_LeafPV],Tasks[[#This Row],[_Row]]+1):INDEX(Tasks[_LeafPV],Tasks[[#This Row],[_Row]]+Tasks[[#This Row],[_Descendants]])),Tasks[[#This Row],[_LeafPV]]))</f>
        <v/>
      </c>
      <c r="BP170" s="97" t="str">
        <f aca="false">IF(Tasks[[#This Row],[Task Name]]="","",IF(Tasks[[#This Row],[_IsSummary]],SUM(INDEX(Tasks[_LeafEV],Tasks[[#This Row],[_Row]]+1):INDEX(Tasks[_LeafEV],Tasks[[#This Row],[_Row]]+Tasks[[#This Row],[_Descendants]])),Tasks[[#This Row],[_LeafEV]]))</f>
        <v/>
      </c>
      <c r="BQ170" s="97" t="str">
        <f aca="false">IF(Tasks[[#This Row],[Task Name]]="","",IF(Tasks[[#This Row],[_IsSummary]],SUM(INDEX(Tasks[_LeafAC],Tasks[[#This Row],[_Row]]+1):INDEX(Tasks[_LeafAC],Tasks[[#This Row],[_Row]]+Tasks[[#This Row],[_Descendants]])),Tasks[[#This Row],[_LeafAC]]))</f>
        <v/>
      </c>
      <c r="BR170" s="41" t="str">
        <f aca="false">IF(Tasks[[#This Row],[Task Name]]="","",MAX(1,N(Tasks[[#This Row],[Level]])))</f>
        <v/>
      </c>
      <c r="BS170" s="41" t="n">
        <f aca="false">ROW()-ROW(Tasks[[#Headers],[ID]])</f>
        <v>165</v>
      </c>
      <c r="BT170" s="41" t="n">
        <f aca="false">IF(OR(Tasks[[#This Row],[Task Name]]="",Tasks[[#This Row],[_Level]]&lt;=1),0,IFERROR(LOOKUP(2,1/(Tasks[[#Headers],[_Level]]:Tasks[[#This Row],[_Level]]=Tasks[[#This Row],[_Level]]-1),ROW(Tasks[[#Headers],[_Level]]:Tasks[[#This Row],[_Level]])),0))</f>
        <v>0</v>
      </c>
      <c r="BU170" s="41" t="n">
        <f aca="false">IFERROR(N(INDEX(Tasks[_Level],Tasks[[#This Row],[_Row]]+1)),0)</f>
        <v>0</v>
      </c>
      <c r="BV170" s="100" t="b">
        <f aca="false">AND(Tasks[[#This Row],[Task Name]]&lt;&gt;"",Tasks[[#This Row],[_NextLevel]]&gt;Tasks[[#This Row],[_Level]])</f>
        <v>0</v>
      </c>
      <c r="BW170" s="41" t="n">
        <f aca="false">IF(Tasks[[#This Row],[_IsSummary]],COUNTIF(Tasks[WBS],Tasks[[#This Row],[WBS]]&amp;".*"),0)</f>
        <v>0</v>
      </c>
      <c r="BX170" s="41" t="n">
        <f aca="false">IF(AND(Tasks[[#This Row],[Task Name]]&lt;&gt;"",NOT(Tasks[[#This Row],[_IsSummary]])),1,0)</f>
        <v>0</v>
      </c>
      <c r="BY170" s="41" t="n">
        <f aca="false">IF(N(Tasks[[#This Row],[Pred1 UID]])=0,0,IFERROR(MATCH(Tasks[[#This Row],[Pred1 UID]],Tasks[UID],0),-1))</f>
        <v>0</v>
      </c>
      <c r="BZ170" s="41" t="n">
        <f aca="false">IF(N(Tasks[[#This Row],[Pred2 UID]])=0,0,IFERROR(MATCH(Tasks[[#This Row],[Pred2 UID]],Tasks[UID],0),-1))</f>
        <v>0</v>
      </c>
      <c r="CA170" s="41" t="n">
        <f aca="false">IF(N(Tasks[[#This Row],[Pred3 UID]])=0,0,IFERROR(MATCH(Tasks[[#This Row],[Pred3 UID]],Tasks[UID],0),-1))</f>
        <v>0</v>
      </c>
      <c r="CB170" s="41" t="n">
        <f aca="false">IF(N(Tasks[[#This Row],[Pred4 UID]])=0,0,IFERROR(MATCH(Tasks[[#This Row],[Pred4 UID]],Tasks[UID],0),-1))</f>
        <v>0</v>
      </c>
      <c r="CC1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0" s="101" t="n">
        <f aca="false">IF(OR(Tasks[[#This Row],[_ConstraintCode]]=2,Tasks[[#This Row],[_ConstraintCode]]=3,Tasks[[#This Row],[_ConstraintCode]]=4,Tasks[[#This Row],[_ConstraintCode]]=6),Tasks[[#This Row],[_ConstraintStart]],0)</f>
        <v>0</v>
      </c>
      <c r="CF170" s="101" t="n">
        <f aca="false">IF(OR(Tasks[[#This Row],[_ConstraintCode]]=2,Tasks[[#This Row],[_ConstraintCode]]=3,Tasks[[#This Row],[_ConstraintCode]]=5,Tasks[[#This Row],[_ConstraintCode]]=7),Tasks[[#This Row],[_ConstraintStart]],2958465)</f>
        <v>2958465</v>
      </c>
      <c r="CG17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0" s="101" t="str">
        <f aca="false">IF(NOT(Tasks[[#This Row],[_IsLeaf]]=1),"",IF(N(Tasks[[#This Row],[Duration]])&lt;=0,Tasks[[#This Row],[_LeafCalcStart]],WORKDAY.INTL(Tasks[[#This Row],[_LeafCalcStart]],Tasks[[#This Row],[Duration]]-1,WorkWeek,Holidays)))</f>
        <v/>
      </c>
      <c r="CI17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0" s="41" t="n">
        <f aca="false">IF(NOT(Tasks[[#This Row],[_IsLeaf]]=1),0,IF(N(Tasks[[#This Row],[Actual Finish]])&gt;0,1,MIN(1,N(Tasks[[#This Row],[% Complete]]))))</f>
        <v>0</v>
      </c>
      <c r="CL170" s="41" t="n">
        <f aca="false">IF(OR(NOT(Tasks[[#This Row],[_IsLeaf]]=1),Tasks[[#This Row],[Resource]]=""),0,N(Tasks[[#This Row],[Duration]])*HoursPerDay*IF(Tasks[[#This Row],[Units]]="",DefaultUnits,Tasks[[#This Row],[Units]]))</f>
        <v>0</v>
      </c>
      <c r="CM170" s="41" t="n">
        <f aca="false">IF(Tasks[[#This Row],[_LeafWork]]=0,0,Tasks[[#This Row],[_LeafWork]]*IFERROR(INDEX(res_Rate,MATCH(Tasks[[#This Row],[Resource]],res_Name,0)),0))</f>
        <v>0</v>
      </c>
      <c r="CN170" s="41" t="n">
        <f aca="false">Tasks[[#This Row],[_LeafWork]]+IF(Tasks[[#This Row],[_IsLeaf]]=1,SUMIFS(asg_Work,asg_TaskUID,Tasks[[#This Row],[UID]],asg_Valid,1),0)</f>
        <v>0</v>
      </c>
      <c r="CO170" s="41" t="n">
        <f aca="false">Tasks[[#This Row],[_LeafCost]]+IF(Tasks[[#This Row],[_IsLeaf]]=1,SUMIFS(asg_Cost,asg_TaskUID,Tasks[[#This Row],[UID]],asg_Valid,1),0)</f>
        <v>0</v>
      </c>
      <c r="CP170" s="41" t="n">
        <f aca="false">IF(Tasks[[#This Row],[_LeafTotalCost]]=0,Tasks[[#This Row],[_LeafAC]],Tasks[[#This Row],[_LeafAC]]*Tasks[[#This Row],[_LeafCost]]/Tasks[[#This Row],[_LeafTotalCost]])</f>
        <v>0</v>
      </c>
      <c r="CQ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0" s="41" t="n">
        <f aca="false">IF(NOT(Tasks[[#This Row],[_IsLeaf]]=1),0,MAX(_xlfn.MAXIFS(Tasks[_Row],Tasks[Pred1 UID],Tasks[[#This Row],[UID]]),_xlfn.MAXIFS(Tasks[_Row],Tasks[Pred2 UID],Tasks[[#This Row],[UID]]),_xlfn.MAXIFS(Tasks[_Row],Tasks[Pred3 UID],Tasks[[#This Row],[UID]]),_xlfn.MAXIFS(Tasks[_Row],Tasks[Pred4 UID],Tasks[[#This Row],[UID]])))</f>
        <v>0</v>
      </c>
      <c r="CZ1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0" s="101" t="str">
        <f aca="false">IF(NOT(Tasks[[#This Row],[_IsLeaf]]=1),"",IF(N(Tasks[[#This Row],[Duration]])&lt;=0,Tasks[[#This Row],[_LeafLateFinish]],WORKDAY.INTL(Tasks[[#This Row],[_LeafLateFinish]],-(Tasks[[#This Row],[Duration]]-1),WorkWeek,Holidays)))</f>
        <v/>
      </c>
      <c r="DC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0" s="100" t="b">
        <f aca="false">AND(Tasks[[#This Row],[_IsLeaf]]=1,Tasks[[#This Row],[_LeafProgress]]&lt;1,N(Tasks[[#This Row],[_LeafTotalSlack]])&lt;=CriticalSlackDays)</f>
        <v>0</v>
      </c>
      <c r="DE170" s="41" t="n">
        <f aca="false">IF(AND(Tasks[[#This Row],[_IsLeaf]]=1,Tasks[[#This Row],[_ConstraintCode]]=1,Tasks[[#This Row],[Mode]]&lt;&gt;"Manual",N(Tasks[[#This Row],[Actual Start]])=0),MAX(0,N(Tasks[[#This Row],[Free Slack]])),0)</f>
        <v>0</v>
      </c>
      <c r="DF170" s="101" t="str">
        <f aca="false">IF(NOT(Tasks[[#This Row],[_IsLeaf]]=1),"",IF(Tasks[[#This Row],[_AlapShift]]=0,Tasks[[#This Row],[_LeafCalcStart]],WORKDAY.INTL(Tasks[[#This Row],[_LeafCalcStart]],Tasks[[#This Row],[_AlapShift]],WorkWeek,Holidays)))</f>
        <v/>
      </c>
      <c r="DG170" s="101" t="str">
        <f aca="false">IF(NOT(Tasks[[#This Row],[_IsLeaf]]=1),"",IF(Tasks[[#This Row],[_AlapShift]]=0,Tasks[[#This Row],[_LeafCalcFinish]],WORKDAY.INTL(Tasks[[#This Row],[_LeafCalcFinish]],Tasks[[#This Row],[_AlapShift]],WorkWeek,Holidays)))</f>
        <v/>
      </c>
      <c r="DH170" s="101" t="str">
        <f aca="false">IF(NOT(Tasks[[#This Row],[_IsLeaf]]=1),"",IF(Tasks[[#This Row],[_AlapShift]]=0,Tasks[[#This Row],[_LeafFcstStart]],WORKDAY.INTL(Tasks[[#This Row],[_LeafFcstStart]],Tasks[[#This Row],[_AlapShift]],WorkWeek,Holidays)))</f>
        <v/>
      </c>
      <c r="DI170" s="101" t="str">
        <f aca="false">IF(NOT(Tasks[[#This Row],[_IsLeaf]]=1),"",IF(Tasks[[#This Row],[_AlapShift]]=0,Tasks[[#This Row],[_LeafFcstFinish]],WORKDAY.INTL(Tasks[[#This Row],[_LeafFcstFinish]],Tasks[[#This Row],[_AlapShift]],WorkWeek,Holidays)))</f>
        <v/>
      </c>
      <c r="DJ170" s="101" t="str">
        <f aca="false">IF(Tasks[[#This Row],[Task Name]]="","",IF(Tasks[[#This Row],[_IsSummary]],MIN(INDEX(Tasks[_ShownCalcStart],Tasks[[#This Row],[_Row]]+1):INDEX(Tasks[_ShownCalcStart],Tasks[[#This Row],[_Row]]+Tasks[[#This Row],[_Descendants]])),Tasks[[#This Row],[_ShownCalcStart]]))</f>
        <v/>
      </c>
      <c r="DK170" s="101" t="str">
        <f aca="false">IF(Tasks[[#This Row],[Task Name]]="","",IF(Tasks[[#This Row],[_IsSummary]],MAX(INDEX(Tasks[_ShownCalcFinish],Tasks[[#This Row],[_Row]]+1):INDEX(Tasks[_ShownCalcFinish],Tasks[[#This Row],[_Row]]+Tasks[[#This Row],[_Descendants]])),Tasks[[#This Row],[_ShownCalcFinish]]))</f>
        <v/>
      </c>
      <c r="D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0" s="41" t="n">
        <f aca="false">IF(AND(Tasks[[#This Row],[_IsLeaf]]=1,Tasks[[#This Row],[_LeafTotalWork]]&gt;0),NETWORKDAYS.INTL(ProjectStart,Tasks[[#This Row],[_ShownFcstStart]],WorkWeek,Holidays),0)</f>
        <v>0</v>
      </c>
      <c r="DY170" s="41" t="n">
        <f aca="false">IF(AND(Tasks[[#This Row],[_IsLeaf]]=1,Tasks[[#This Row],[_LeafTotalWork]]&gt;0),MAX(Tasks[[#This Row],[_StartWorkday]],NETWORKDAYS.INTL(ProjectStart,Tasks[[#This Row],[_ShownFcstFinish]],WorkWeek,Holidays)),0)</f>
        <v>0</v>
      </c>
      <c r="DZ170" s="41" t="n">
        <f aca="false">IF(AND(Tasks[[#This Row],[_IsLeaf]]=1,Tasks[[#This Row],[_LeafTotalWork]]&gt;0),Tasks[[#This Row],[_LeafWork]]/(Tasks[[#This Row],[_FinishWorkday]]-Tasks[[#This Row],[_StartWorkday]]+1),0)</f>
        <v>0</v>
      </c>
      <c r="EA170" s="41" t="n">
        <f aca="false">Tasks[[#This Row],[_WorkPerWorkday]]*(Tasks[[#This Row],[_StartWorkday]]-1)</f>
        <v>-0</v>
      </c>
      <c r="EB170" s="41" t="n">
        <f aca="false">IF(Tasks[[#This Row],[_IsLeaf]]=1,MAX(N(Tasks[[#This Row],[Duration]]),0.1),0)</f>
        <v>0</v>
      </c>
      <c r="EC170" s="41" t="n">
        <f aca="false">Tasks[[#This Row],[_WeightDur]]*Tasks[[#This Row],[_LeafProgress]]</f>
        <v>0</v>
      </c>
      <c r="ED1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0" s="41" t="str">
        <f aca="false">IF(AND(Tasks[[#This Row],[_IsLeaf]]=1,N(Tasks[[#This Row],[Duration]])=0,Tasks[[#This Row],[_LeafProgress]]&lt;1),Tasks[[#This Row],[_ShownFcstFinish]]+Tasks[[#This Row],[_Row]]/100000,"")</f>
        <v/>
      </c>
      <c r="EF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0" s="41" t="n">
        <f aca="false">IF(NOT(Tasks[[#This Row],[_IsLeaf]]=1),0,IF(Tasks[[#This Row],[Baseline Cost]]="",Tasks[[#This Row],[_LeafTotalCost]],N(Tasks[[#This Row],[Baseline Cost]])))</f>
        <v>0</v>
      </c>
      <c r="EH170" s="41" t="n">
        <f aca="false">Tasks[[#This Row],[_LeafBudget]]*Tasks[[#This Row],[_PlannedPct]]</f>
        <v>0</v>
      </c>
      <c r="EI170" s="41" t="n">
        <f aca="false">Tasks[[#This Row],[_LeafBudget]]*Tasks[[#This Row],[_LeafProgress]]</f>
        <v>0</v>
      </c>
      <c r="EJ170" s="41" t="n">
        <f aca="false">IF(NOT(Tasks[[#This Row],[_IsLeaf]]=1),0,IF(Tasks[[#This Row],[Actual Cost]]="",Tasks[[#This Row],[_LeafTotalCost]]*Tasks[[#This Row],[_LeafProgress]],N(Tasks[[#This Row],[Actual Cost]])))</f>
        <v>0</v>
      </c>
      <c r="EK170" s="41" t="str">
        <f aca="false">IF(Tasks[[#This Row],[Task Name]]="","",LEFT(Tasks[[#This Row],[WBS]],FIND(".",Tasks[[#This Row],[WBS]]&amp;".")-1))</f>
        <v/>
      </c>
      <c r="EL170" s="41" t="str">
        <f aca="false">IF(AND(Tasks[[#This Row],[Task Name]]&lt;&gt;"",Tasks[[#This Row],[_Level]]=1),Tasks[[#This Row],[_Row]],"")</f>
        <v/>
      </c>
      <c r="EM170" s="41" t="str">
        <f aca="false">IF(AND(Tasks[[#This Row],[_IsLeaf]]=1,N(Tasks[[#This Row],[Duration]])=0),Tasks[[#This Row],[Planned Finish]]+Tasks[[#This Row],[_Row]]/100000,"")</f>
        <v/>
      </c>
      <c r="EN170" s="41" t="str">
        <f aca="false">IF(AND(Tasks[[#This Row],[_IsLeaf]]=1,Tasks[[#This Row],[_LeafProgress]]&lt;1,OR(N(Tasks[[#This Row],[Finish Var]])&gt;0,Tasks[[#This Row],[Status]]="Late Start")),MAX(0,Tasks[[#This Row],[Finish Var]])+1-Tasks[[#This Row],[_Row]]/1000000,"")</f>
        <v/>
      </c>
      <c r="EO170" s="41" t="str">
        <f aca="false">IF(AND(Tasks[[#This Row],[_IsLeaf]]=1,N(Tasks[[#This Row],[Actual Start]])=0,Tasks[[#This Row],[_ShownFcstStart]]&gt;=StatusDate,Tasks[[#This Row],[_ShownFcstStart]]&lt;=LookaheadEnd),Tasks[[#This Row],[_ShownFcstStart]]+Tasks[[#This Row],[_Row]]/100000,"")</f>
        <v/>
      </c>
      <c r="EP170" s="41" t="str">
        <f aca="false">IF(AND(Tasks[[#This Row],[_IsLeaf]]=1,Tasks[[#This Row],[_LeafProgress]]&lt;1,Tasks[[#This Row],[_ShownFcstFinish]]&gt;=StatusDate,Tasks[[#This Row],[_ShownFcstFinish]]&lt;=LookaheadEnd),Tasks[[#This Row],[_ShownFcstFinish]]+Tasks[[#This Row],[_Row]]/100000,"")</f>
        <v/>
      </c>
      <c r="EQ170" s="41" t="str">
        <f aca="false">IF(Tasks[[#This Row],[_LeafCritical]],Tasks[[#This Row],[_ShownFcstStart]]+Tasks[[#This Row],[_Row]]/100000,"")</f>
        <v/>
      </c>
      <c r="ER170" s="41" t="n">
        <f aca="false">Tasks[[#This Row],[_LeafWork]]*Tasks[[#This Row],[_LeafProgress]]</f>
        <v>0</v>
      </c>
      <c r="ES170" s="101" t="str">
        <f aca="false">IF(AND(Tasks[[#This Row],[_IsLeaf]]=1,Tasks[[#This Row],[_LeafProgress]]&gt;=1),IF(N(Tasks[[#This Row],[Actual Finish]])&gt;0,Tasks[[#This Row],[Actual Finish]],Tasks[[#This Row],[_ShownFcstFinish]]),"")</f>
        <v/>
      </c>
      <c r="ET170" s="41" t="n">
        <f aca="false">IF(Tasks[[#This Row],[_IsLeaf]]=1,N(Tasks[[#This Row],[Story Points]]),0)</f>
        <v>0</v>
      </c>
      <c r="EU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29"/>
      <c r="O171" s="29"/>
      <c r="P171" s="29"/>
      <c r="Q171" s="29"/>
      <c r="R171" s="29"/>
      <c r="S171" s="29"/>
      <c r="T171" s="30"/>
      <c r="U171" s="75"/>
      <c r="V171" s="75"/>
      <c r="W171" s="25" t="str">
        <f aca="false">IF(Tasks[[#This Row],[Task Name]]="","",IF(N(Tasks[[#This Row],[Baseline Start]])&gt;0,Tasks[[#This Row],[Baseline Start]],Tasks[[#This Row],[_CalcStart]]))</f>
        <v/>
      </c>
      <c r="X171" s="25" t="str">
        <f aca="false">IF(Tasks[[#This Row],[Task Name]]="","",IF(N(Tasks[[#This Row],[Baseline Finish]])&gt;0,Tasks[[#This Row],[Baseline Finish]],Tasks[[#This Row],[_CalcFinish]]))</f>
        <v/>
      </c>
      <c r="Y171" s="75"/>
      <c r="Z171" s="75"/>
      <c r="AA171" s="25" t="str">
        <f aca="false">IF(Tasks[[#This Row],[Task Name]]="","",IF(Tasks[[#This Row],[_IsSummary]],MIN(INDEX(Tasks[_ShownFcstStart],Tasks[[#This Row],[_Row]]+1):INDEX(Tasks[_ShownFcstStart],Tasks[[#This Row],[_Row]]+Tasks[[#This Row],[_Descendants]])),Tasks[[#This Row],[_ShownFcstStart]]))</f>
        <v/>
      </c>
      <c r="AB171" s="25" t="str">
        <f aca="false">IF(Tasks[[#This Row],[Task Name]]="","",IF(Tasks[[#This Row],[_IsSummary]],MAX(INDEX(Tasks[_ShownFcstFinish],Tasks[[#This Row],[_Row]]+1):INDEX(Tasks[_ShownFcstFinish],Tasks[[#This Row],[_Row]]+Tasks[[#This Row],[_Descendants]])),Tasks[[#This Row],[_ShownFcstFinish]]))</f>
        <v/>
      </c>
      <c r="AC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1" s="25" t="str">
        <f aca="false">IF(Tasks[[#This Row],[Task Name]]="","",IF(Tasks[[#This Row],[_IsSummary]],MIN(INDEX(Tasks[_LeafLateStart],Tasks[[#This Row],[_Row]]+1):INDEX(Tasks[_LeafLateStart],Tasks[[#This Row],[_Row]]+Tasks[[#This Row],[_Descendants]])),Tasks[[#This Row],[_LeafLateStart]]))</f>
        <v/>
      </c>
      <c r="AF171" s="25" t="str">
        <f aca="false">IF(Tasks[[#This Row],[Task Name]]="","",IF(Tasks[[#This Row],[_IsSummary]],MAX(INDEX(Tasks[_LeafLateFinish],Tasks[[#This Row],[_Row]]+1):INDEX(Tasks[_LeafLateFinish],Tasks[[#This Row],[_Row]]+Tasks[[#This Row],[_Descendants]])),Tasks[[#This Row],[_LeafLateFinish]]))</f>
        <v/>
      </c>
      <c r="AG171" s="28" t="str">
        <f aca="false">IF(Tasks[[#This Row],[Task Name]]="","",IF(Tasks[[#This Row],[_IsSummary]],MIN(INDEX(Tasks[_LeafTotalSlack],Tasks[[#This Row],[_Row]]+1):INDEX(Tasks[_LeafTotalSlack],Tasks[[#This Row],[_Row]]+Tasks[[#This Row],[_Descendants]])),Tasks[[#This Row],[_LeafTotalSlack]]))</f>
        <v/>
      </c>
      <c r="AH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1" s="28" t="str">
        <f aca="false">IF(Tasks[[#This Row],[Task Name]]="","",IF(IF(Tasks[[#This Row],[_IsSummary]],COUNTIF(INDEX(Tasks[_LeafCritical],Tasks[[#This Row],[_Row]]+1):INDEX(Tasks[_LeafCritical],Tasks[[#This Row],[_Row]]+Tasks[[#This Row],[_Descendants]]),TRUE())&gt;0,Tasks[[#This Row],[_LeafCritical]]),"Yes",""))</f>
        <v/>
      </c>
      <c r="AJ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1" s="89"/>
      <c r="AM1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1" s="28" t="str">
        <f aca="false">IF(Tasks[[#This Row],[Task Name]]="","",IF(Tasks[[#This Row],[Progress]]&gt;=1,"Complete",IF(OR(N(Tasks[[#This Row],[Actual Start]])&gt;0,Tasks[[#This Row],[Progress]]&gt;0),IF(Tasks[[#This Row],[Finish Var]]&gt;0,"Behind","In Progress"),IF(Tasks[[#This Row],[Planned Start]]&lt;StatusDate,"Late Start","Not Started"))))</f>
        <v/>
      </c>
      <c r="AO171" s="30"/>
      <c r="AP171" s="89"/>
      <c r="AQ1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1" s="96" t="str">
        <f aca="false">IF(Tasks[[#This Row],[Task Name]]="","",IF(Tasks[[#This Row],[_IsSummary]],SUM(INDEX(Tasks[_LeafTotalWork],Tasks[[#This Row],[_Row]]+1):INDEX(Tasks[_LeafTotalWork],Tasks[[#This Row],[_Row]]+Tasks[[#This Row],[_Descendants]])),Tasks[[#This Row],[_LeafTotalWork]]))</f>
        <v/>
      </c>
      <c r="AT171" s="97" t="str">
        <f aca="false">IF(Tasks[[#This Row],[Task Name]]="","",IF(Tasks[[#This Row],[_IsSummary]],SUM(INDEX(Tasks[_LeafTotalCost],Tasks[[#This Row],[_Row]]+1):INDEX(Tasks[_LeafTotalCost],Tasks[[#This Row],[_Row]]+Tasks[[#This Row],[_Descendants]])),Tasks[[#This Row],[_LeafTotalCost]]))</f>
        <v/>
      </c>
      <c r="AU171" s="98"/>
      <c r="AV171" s="29"/>
      <c r="AW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1" s="83"/>
      <c r="AY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1" s="30"/>
      <c r="BA171" s="25" t="str">
        <f aca="false">IF(Tasks[[#This Row],[Task Name]]="","",Tasks[[#This Row],[Forecast Start]])</f>
        <v/>
      </c>
      <c r="BB171" s="25" t="str">
        <f aca="false">IF(Tasks[[#This Row],[Task Name]]="","",Tasks[[#This Row],[Forecast Finish]])</f>
        <v/>
      </c>
      <c r="BC171" s="28" t="str">
        <f aca="false">IF(Tasks[[#This Row],[Task Name]]="","",IF(Tasks[[#This Row],[_IsSummary]],NETWORKDAYS.INTL(Tasks[[#This Row],[Forecast Start]],Tasks[[#This Row],[Forecast Finish]],WorkWeek,Holidays),N(Tasks[[#This Row],[Duration]])))</f>
        <v/>
      </c>
      <c r="BD171" s="96" t="str">
        <f aca="false">IF(Tasks[[#This Row],[Task Name]]="","",Tasks[[#This Row],[Work]])</f>
        <v/>
      </c>
      <c r="BE171" s="97" t="str">
        <f aca="false">IF(Tasks[[#This Row],[Task Name]]="","",Tasks[[#This Row],[Cost]])</f>
        <v/>
      </c>
      <c r="BF171" s="75"/>
      <c r="BG171" s="75"/>
      <c r="BH171" s="29"/>
      <c r="BI171" s="99"/>
      <c r="BJ171" s="98"/>
      <c r="BK171" s="28" t="str">
        <f aca="false">IF(OR(Tasks[[#This Row],[Task Name]]="",Tasks[[#This Row],[Baseline Duration]]=""),"",Tasks[[#This Row],[BL Source Duration]]-N(Tasks[[#This Row],[Baseline Duration]]))</f>
        <v/>
      </c>
      <c r="BL171" s="96" t="str">
        <f aca="false">IF(OR(Tasks[[#This Row],[Task Name]]="",Tasks[[#This Row],[Baseline Work]]=""),"",Tasks[[#This Row],[Work]]-N(Tasks[[#This Row],[Baseline Work]]))</f>
        <v/>
      </c>
      <c r="BM171" s="97" t="str">
        <f aca="false">IF(OR(Tasks[[#This Row],[Task Name]]="",Tasks[[#This Row],[Baseline Cost]]=""),"",Tasks[[#This Row],[Cost]]-N(Tasks[[#This Row],[Baseline Cost]]))</f>
        <v/>
      </c>
      <c r="BN171" s="97" t="str">
        <f aca="false">IF(Tasks[[#This Row],[Task Name]]="","",IF(Tasks[[#This Row],[_IsSummary]],SUM(INDEX(Tasks[_LeafBudget],Tasks[[#This Row],[_Row]]+1):INDEX(Tasks[_LeafBudget],Tasks[[#This Row],[_Row]]+Tasks[[#This Row],[_Descendants]])),Tasks[[#This Row],[_LeafBudget]]))</f>
        <v/>
      </c>
      <c r="BO171" s="97" t="str">
        <f aca="false">IF(Tasks[[#This Row],[Task Name]]="","",IF(Tasks[[#This Row],[_IsSummary]],SUM(INDEX(Tasks[_LeafPV],Tasks[[#This Row],[_Row]]+1):INDEX(Tasks[_LeafPV],Tasks[[#This Row],[_Row]]+Tasks[[#This Row],[_Descendants]])),Tasks[[#This Row],[_LeafPV]]))</f>
        <v/>
      </c>
      <c r="BP171" s="97" t="str">
        <f aca="false">IF(Tasks[[#This Row],[Task Name]]="","",IF(Tasks[[#This Row],[_IsSummary]],SUM(INDEX(Tasks[_LeafEV],Tasks[[#This Row],[_Row]]+1):INDEX(Tasks[_LeafEV],Tasks[[#This Row],[_Row]]+Tasks[[#This Row],[_Descendants]])),Tasks[[#This Row],[_LeafEV]]))</f>
        <v/>
      </c>
      <c r="BQ171" s="97" t="str">
        <f aca="false">IF(Tasks[[#This Row],[Task Name]]="","",IF(Tasks[[#This Row],[_IsSummary]],SUM(INDEX(Tasks[_LeafAC],Tasks[[#This Row],[_Row]]+1):INDEX(Tasks[_LeafAC],Tasks[[#This Row],[_Row]]+Tasks[[#This Row],[_Descendants]])),Tasks[[#This Row],[_LeafAC]]))</f>
        <v/>
      </c>
      <c r="BR171" s="41" t="str">
        <f aca="false">IF(Tasks[[#This Row],[Task Name]]="","",MAX(1,N(Tasks[[#This Row],[Level]])))</f>
        <v/>
      </c>
      <c r="BS171" s="41" t="n">
        <f aca="false">ROW()-ROW(Tasks[[#Headers],[ID]])</f>
        <v>166</v>
      </c>
      <c r="BT171" s="41" t="n">
        <f aca="false">IF(OR(Tasks[[#This Row],[Task Name]]="",Tasks[[#This Row],[_Level]]&lt;=1),0,IFERROR(LOOKUP(2,1/(Tasks[[#Headers],[_Level]]:Tasks[[#This Row],[_Level]]=Tasks[[#This Row],[_Level]]-1),ROW(Tasks[[#Headers],[_Level]]:Tasks[[#This Row],[_Level]])),0))</f>
        <v>0</v>
      </c>
      <c r="BU171" s="41" t="n">
        <f aca="false">IFERROR(N(INDEX(Tasks[_Level],Tasks[[#This Row],[_Row]]+1)),0)</f>
        <v>0</v>
      </c>
      <c r="BV171" s="100" t="b">
        <f aca="false">AND(Tasks[[#This Row],[Task Name]]&lt;&gt;"",Tasks[[#This Row],[_NextLevel]]&gt;Tasks[[#This Row],[_Level]])</f>
        <v>0</v>
      </c>
      <c r="BW171" s="41" t="n">
        <f aca="false">IF(Tasks[[#This Row],[_IsSummary]],COUNTIF(Tasks[WBS],Tasks[[#This Row],[WBS]]&amp;".*"),0)</f>
        <v>0</v>
      </c>
      <c r="BX171" s="41" t="n">
        <f aca="false">IF(AND(Tasks[[#This Row],[Task Name]]&lt;&gt;"",NOT(Tasks[[#This Row],[_IsSummary]])),1,0)</f>
        <v>0</v>
      </c>
      <c r="BY171" s="41" t="n">
        <f aca="false">IF(N(Tasks[[#This Row],[Pred1 UID]])=0,0,IFERROR(MATCH(Tasks[[#This Row],[Pred1 UID]],Tasks[UID],0),-1))</f>
        <v>0</v>
      </c>
      <c r="BZ171" s="41" t="n">
        <f aca="false">IF(N(Tasks[[#This Row],[Pred2 UID]])=0,0,IFERROR(MATCH(Tasks[[#This Row],[Pred2 UID]],Tasks[UID],0),-1))</f>
        <v>0</v>
      </c>
      <c r="CA171" s="41" t="n">
        <f aca="false">IF(N(Tasks[[#This Row],[Pred3 UID]])=0,0,IFERROR(MATCH(Tasks[[#This Row],[Pred3 UID]],Tasks[UID],0),-1))</f>
        <v>0</v>
      </c>
      <c r="CB171" s="41" t="n">
        <f aca="false">IF(N(Tasks[[#This Row],[Pred4 UID]])=0,0,IFERROR(MATCH(Tasks[[#This Row],[Pred4 UID]],Tasks[UID],0),-1))</f>
        <v>0</v>
      </c>
      <c r="CC1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1" s="101" t="n">
        <f aca="false">IF(OR(Tasks[[#This Row],[_ConstraintCode]]=2,Tasks[[#This Row],[_ConstraintCode]]=3,Tasks[[#This Row],[_ConstraintCode]]=4,Tasks[[#This Row],[_ConstraintCode]]=6),Tasks[[#This Row],[_ConstraintStart]],0)</f>
        <v>0</v>
      </c>
      <c r="CF171" s="101" t="n">
        <f aca="false">IF(OR(Tasks[[#This Row],[_ConstraintCode]]=2,Tasks[[#This Row],[_ConstraintCode]]=3,Tasks[[#This Row],[_ConstraintCode]]=5,Tasks[[#This Row],[_ConstraintCode]]=7),Tasks[[#This Row],[_ConstraintStart]],2958465)</f>
        <v>2958465</v>
      </c>
      <c r="CG17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1" s="101" t="str">
        <f aca="false">IF(NOT(Tasks[[#This Row],[_IsLeaf]]=1),"",IF(N(Tasks[[#This Row],[Duration]])&lt;=0,Tasks[[#This Row],[_LeafCalcStart]],WORKDAY.INTL(Tasks[[#This Row],[_LeafCalcStart]],Tasks[[#This Row],[Duration]]-1,WorkWeek,Holidays)))</f>
        <v/>
      </c>
      <c r="CI17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1" s="41" t="n">
        <f aca="false">IF(NOT(Tasks[[#This Row],[_IsLeaf]]=1),0,IF(N(Tasks[[#This Row],[Actual Finish]])&gt;0,1,MIN(1,N(Tasks[[#This Row],[% Complete]]))))</f>
        <v>0</v>
      </c>
      <c r="CL171" s="41" t="n">
        <f aca="false">IF(OR(NOT(Tasks[[#This Row],[_IsLeaf]]=1),Tasks[[#This Row],[Resource]]=""),0,N(Tasks[[#This Row],[Duration]])*HoursPerDay*IF(Tasks[[#This Row],[Units]]="",DefaultUnits,Tasks[[#This Row],[Units]]))</f>
        <v>0</v>
      </c>
      <c r="CM171" s="41" t="n">
        <f aca="false">IF(Tasks[[#This Row],[_LeafWork]]=0,0,Tasks[[#This Row],[_LeafWork]]*IFERROR(INDEX(res_Rate,MATCH(Tasks[[#This Row],[Resource]],res_Name,0)),0))</f>
        <v>0</v>
      </c>
      <c r="CN171" s="41" t="n">
        <f aca="false">Tasks[[#This Row],[_LeafWork]]+IF(Tasks[[#This Row],[_IsLeaf]]=1,SUMIFS(asg_Work,asg_TaskUID,Tasks[[#This Row],[UID]],asg_Valid,1),0)</f>
        <v>0</v>
      </c>
      <c r="CO171" s="41" t="n">
        <f aca="false">Tasks[[#This Row],[_LeafCost]]+IF(Tasks[[#This Row],[_IsLeaf]]=1,SUMIFS(asg_Cost,asg_TaskUID,Tasks[[#This Row],[UID]],asg_Valid,1),0)</f>
        <v>0</v>
      </c>
      <c r="CP171" s="41" t="n">
        <f aca="false">IF(Tasks[[#This Row],[_LeafTotalCost]]=0,Tasks[[#This Row],[_LeafAC]],Tasks[[#This Row],[_LeafAC]]*Tasks[[#This Row],[_LeafCost]]/Tasks[[#This Row],[_LeafTotalCost]])</f>
        <v>0</v>
      </c>
      <c r="CQ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1" s="41" t="n">
        <f aca="false">IF(NOT(Tasks[[#This Row],[_IsLeaf]]=1),0,MAX(_xlfn.MAXIFS(Tasks[_Row],Tasks[Pred1 UID],Tasks[[#This Row],[UID]]),_xlfn.MAXIFS(Tasks[_Row],Tasks[Pred2 UID],Tasks[[#This Row],[UID]]),_xlfn.MAXIFS(Tasks[_Row],Tasks[Pred3 UID],Tasks[[#This Row],[UID]]),_xlfn.MAXIFS(Tasks[_Row],Tasks[Pred4 UID],Tasks[[#This Row],[UID]])))</f>
        <v>0</v>
      </c>
      <c r="CZ1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1" s="101" t="str">
        <f aca="false">IF(NOT(Tasks[[#This Row],[_IsLeaf]]=1),"",IF(N(Tasks[[#This Row],[Duration]])&lt;=0,Tasks[[#This Row],[_LeafLateFinish]],WORKDAY.INTL(Tasks[[#This Row],[_LeafLateFinish]],-(Tasks[[#This Row],[Duration]]-1),WorkWeek,Holidays)))</f>
        <v/>
      </c>
      <c r="DC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1" s="100" t="b">
        <f aca="false">AND(Tasks[[#This Row],[_IsLeaf]]=1,Tasks[[#This Row],[_LeafProgress]]&lt;1,N(Tasks[[#This Row],[_LeafTotalSlack]])&lt;=CriticalSlackDays)</f>
        <v>0</v>
      </c>
      <c r="DE171" s="41" t="n">
        <f aca="false">IF(AND(Tasks[[#This Row],[_IsLeaf]]=1,Tasks[[#This Row],[_ConstraintCode]]=1,Tasks[[#This Row],[Mode]]&lt;&gt;"Manual",N(Tasks[[#This Row],[Actual Start]])=0),MAX(0,N(Tasks[[#This Row],[Free Slack]])),0)</f>
        <v>0</v>
      </c>
      <c r="DF171" s="101" t="str">
        <f aca="false">IF(NOT(Tasks[[#This Row],[_IsLeaf]]=1),"",IF(Tasks[[#This Row],[_AlapShift]]=0,Tasks[[#This Row],[_LeafCalcStart]],WORKDAY.INTL(Tasks[[#This Row],[_LeafCalcStart]],Tasks[[#This Row],[_AlapShift]],WorkWeek,Holidays)))</f>
        <v/>
      </c>
      <c r="DG171" s="101" t="str">
        <f aca="false">IF(NOT(Tasks[[#This Row],[_IsLeaf]]=1),"",IF(Tasks[[#This Row],[_AlapShift]]=0,Tasks[[#This Row],[_LeafCalcFinish]],WORKDAY.INTL(Tasks[[#This Row],[_LeafCalcFinish]],Tasks[[#This Row],[_AlapShift]],WorkWeek,Holidays)))</f>
        <v/>
      </c>
      <c r="DH171" s="101" t="str">
        <f aca="false">IF(NOT(Tasks[[#This Row],[_IsLeaf]]=1),"",IF(Tasks[[#This Row],[_AlapShift]]=0,Tasks[[#This Row],[_LeafFcstStart]],WORKDAY.INTL(Tasks[[#This Row],[_LeafFcstStart]],Tasks[[#This Row],[_AlapShift]],WorkWeek,Holidays)))</f>
        <v/>
      </c>
      <c r="DI171" s="101" t="str">
        <f aca="false">IF(NOT(Tasks[[#This Row],[_IsLeaf]]=1),"",IF(Tasks[[#This Row],[_AlapShift]]=0,Tasks[[#This Row],[_LeafFcstFinish]],WORKDAY.INTL(Tasks[[#This Row],[_LeafFcstFinish]],Tasks[[#This Row],[_AlapShift]],WorkWeek,Holidays)))</f>
        <v/>
      </c>
      <c r="DJ171" s="101" t="str">
        <f aca="false">IF(Tasks[[#This Row],[Task Name]]="","",IF(Tasks[[#This Row],[_IsSummary]],MIN(INDEX(Tasks[_ShownCalcStart],Tasks[[#This Row],[_Row]]+1):INDEX(Tasks[_ShownCalcStart],Tasks[[#This Row],[_Row]]+Tasks[[#This Row],[_Descendants]])),Tasks[[#This Row],[_ShownCalcStart]]))</f>
        <v/>
      </c>
      <c r="DK171" s="101" t="str">
        <f aca="false">IF(Tasks[[#This Row],[Task Name]]="","",IF(Tasks[[#This Row],[_IsSummary]],MAX(INDEX(Tasks[_ShownCalcFinish],Tasks[[#This Row],[_Row]]+1):INDEX(Tasks[_ShownCalcFinish],Tasks[[#This Row],[_Row]]+Tasks[[#This Row],[_Descendants]])),Tasks[[#This Row],[_ShownCalcFinish]]))</f>
        <v/>
      </c>
      <c r="D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1" s="41" t="n">
        <f aca="false">IF(AND(Tasks[[#This Row],[_IsLeaf]]=1,Tasks[[#This Row],[_LeafTotalWork]]&gt;0),NETWORKDAYS.INTL(ProjectStart,Tasks[[#This Row],[_ShownFcstStart]],WorkWeek,Holidays),0)</f>
        <v>0</v>
      </c>
      <c r="DY171" s="41" t="n">
        <f aca="false">IF(AND(Tasks[[#This Row],[_IsLeaf]]=1,Tasks[[#This Row],[_LeafTotalWork]]&gt;0),MAX(Tasks[[#This Row],[_StartWorkday]],NETWORKDAYS.INTL(ProjectStart,Tasks[[#This Row],[_ShownFcstFinish]],WorkWeek,Holidays)),0)</f>
        <v>0</v>
      </c>
      <c r="DZ171" s="41" t="n">
        <f aca="false">IF(AND(Tasks[[#This Row],[_IsLeaf]]=1,Tasks[[#This Row],[_LeafTotalWork]]&gt;0),Tasks[[#This Row],[_LeafWork]]/(Tasks[[#This Row],[_FinishWorkday]]-Tasks[[#This Row],[_StartWorkday]]+1),0)</f>
        <v>0</v>
      </c>
      <c r="EA171" s="41" t="n">
        <f aca="false">Tasks[[#This Row],[_WorkPerWorkday]]*(Tasks[[#This Row],[_StartWorkday]]-1)</f>
        <v>-0</v>
      </c>
      <c r="EB171" s="41" t="n">
        <f aca="false">IF(Tasks[[#This Row],[_IsLeaf]]=1,MAX(N(Tasks[[#This Row],[Duration]]),0.1),0)</f>
        <v>0</v>
      </c>
      <c r="EC171" s="41" t="n">
        <f aca="false">Tasks[[#This Row],[_WeightDur]]*Tasks[[#This Row],[_LeafProgress]]</f>
        <v>0</v>
      </c>
      <c r="ED1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1" s="41" t="str">
        <f aca="false">IF(AND(Tasks[[#This Row],[_IsLeaf]]=1,N(Tasks[[#This Row],[Duration]])=0,Tasks[[#This Row],[_LeafProgress]]&lt;1),Tasks[[#This Row],[_ShownFcstFinish]]+Tasks[[#This Row],[_Row]]/100000,"")</f>
        <v/>
      </c>
      <c r="EF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1" s="41" t="n">
        <f aca="false">IF(NOT(Tasks[[#This Row],[_IsLeaf]]=1),0,IF(Tasks[[#This Row],[Baseline Cost]]="",Tasks[[#This Row],[_LeafTotalCost]],N(Tasks[[#This Row],[Baseline Cost]])))</f>
        <v>0</v>
      </c>
      <c r="EH171" s="41" t="n">
        <f aca="false">Tasks[[#This Row],[_LeafBudget]]*Tasks[[#This Row],[_PlannedPct]]</f>
        <v>0</v>
      </c>
      <c r="EI171" s="41" t="n">
        <f aca="false">Tasks[[#This Row],[_LeafBudget]]*Tasks[[#This Row],[_LeafProgress]]</f>
        <v>0</v>
      </c>
      <c r="EJ171" s="41" t="n">
        <f aca="false">IF(NOT(Tasks[[#This Row],[_IsLeaf]]=1),0,IF(Tasks[[#This Row],[Actual Cost]]="",Tasks[[#This Row],[_LeafTotalCost]]*Tasks[[#This Row],[_LeafProgress]],N(Tasks[[#This Row],[Actual Cost]])))</f>
        <v>0</v>
      </c>
      <c r="EK171" s="41" t="str">
        <f aca="false">IF(Tasks[[#This Row],[Task Name]]="","",LEFT(Tasks[[#This Row],[WBS]],FIND(".",Tasks[[#This Row],[WBS]]&amp;".")-1))</f>
        <v/>
      </c>
      <c r="EL171" s="41" t="str">
        <f aca="false">IF(AND(Tasks[[#This Row],[Task Name]]&lt;&gt;"",Tasks[[#This Row],[_Level]]=1),Tasks[[#This Row],[_Row]],"")</f>
        <v/>
      </c>
      <c r="EM171" s="41" t="str">
        <f aca="false">IF(AND(Tasks[[#This Row],[_IsLeaf]]=1,N(Tasks[[#This Row],[Duration]])=0),Tasks[[#This Row],[Planned Finish]]+Tasks[[#This Row],[_Row]]/100000,"")</f>
        <v/>
      </c>
      <c r="EN171" s="41" t="str">
        <f aca="false">IF(AND(Tasks[[#This Row],[_IsLeaf]]=1,Tasks[[#This Row],[_LeafProgress]]&lt;1,OR(N(Tasks[[#This Row],[Finish Var]])&gt;0,Tasks[[#This Row],[Status]]="Late Start")),MAX(0,Tasks[[#This Row],[Finish Var]])+1-Tasks[[#This Row],[_Row]]/1000000,"")</f>
        <v/>
      </c>
      <c r="EO171" s="41" t="str">
        <f aca="false">IF(AND(Tasks[[#This Row],[_IsLeaf]]=1,N(Tasks[[#This Row],[Actual Start]])=0,Tasks[[#This Row],[_ShownFcstStart]]&gt;=StatusDate,Tasks[[#This Row],[_ShownFcstStart]]&lt;=LookaheadEnd),Tasks[[#This Row],[_ShownFcstStart]]+Tasks[[#This Row],[_Row]]/100000,"")</f>
        <v/>
      </c>
      <c r="EP171" s="41" t="str">
        <f aca="false">IF(AND(Tasks[[#This Row],[_IsLeaf]]=1,Tasks[[#This Row],[_LeafProgress]]&lt;1,Tasks[[#This Row],[_ShownFcstFinish]]&gt;=StatusDate,Tasks[[#This Row],[_ShownFcstFinish]]&lt;=LookaheadEnd),Tasks[[#This Row],[_ShownFcstFinish]]+Tasks[[#This Row],[_Row]]/100000,"")</f>
        <v/>
      </c>
      <c r="EQ171" s="41" t="str">
        <f aca="false">IF(Tasks[[#This Row],[_LeafCritical]],Tasks[[#This Row],[_ShownFcstStart]]+Tasks[[#This Row],[_Row]]/100000,"")</f>
        <v/>
      </c>
      <c r="ER171" s="41" t="n">
        <f aca="false">Tasks[[#This Row],[_LeafWork]]*Tasks[[#This Row],[_LeafProgress]]</f>
        <v>0</v>
      </c>
      <c r="ES171" s="101" t="str">
        <f aca="false">IF(AND(Tasks[[#This Row],[_IsLeaf]]=1,Tasks[[#This Row],[_LeafProgress]]&gt;=1),IF(N(Tasks[[#This Row],[Actual Finish]])&gt;0,Tasks[[#This Row],[Actual Finish]],Tasks[[#This Row],[_ShownFcstFinish]]),"")</f>
        <v/>
      </c>
      <c r="ET171" s="41" t="n">
        <f aca="false">IF(Tasks[[#This Row],[_IsLeaf]]=1,N(Tasks[[#This Row],[Story Points]]),0)</f>
        <v>0</v>
      </c>
      <c r="EU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29"/>
      <c r="O172" s="29"/>
      <c r="P172" s="29"/>
      <c r="Q172" s="29"/>
      <c r="R172" s="29"/>
      <c r="S172" s="29"/>
      <c r="T172" s="30"/>
      <c r="U172" s="75"/>
      <c r="V172" s="75"/>
      <c r="W172" s="25" t="str">
        <f aca="false">IF(Tasks[[#This Row],[Task Name]]="","",IF(N(Tasks[[#This Row],[Baseline Start]])&gt;0,Tasks[[#This Row],[Baseline Start]],Tasks[[#This Row],[_CalcStart]]))</f>
        <v/>
      </c>
      <c r="X172" s="25" t="str">
        <f aca="false">IF(Tasks[[#This Row],[Task Name]]="","",IF(N(Tasks[[#This Row],[Baseline Finish]])&gt;0,Tasks[[#This Row],[Baseline Finish]],Tasks[[#This Row],[_CalcFinish]]))</f>
        <v/>
      </c>
      <c r="Y172" s="75"/>
      <c r="Z172" s="75"/>
      <c r="AA172" s="25" t="str">
        <f aca="false">IF(Tasks[[#This Row],[Task Name]]="","",IF(Tasks[[#This Row],[_IsSummary]],MIN(INDEX(Tasks[_ShownFcstStart],Tasks[[#This Row],[_Row]]+1):INDEX(Tasks[_ShownFcstStart],Tasks[[#This Row],[_Row]]+Tasks[[#This Row],[_Descendants]])),Tasks[[#This Row],[_ShownFcstStart]]))</f>
        <v/>
      </c>
      <c r="AB172" s="25" t="str">
        <f aca="false">IF(Tasks[[#This Row],[Task Name]]="","",IF(Tasks[[#This Row],[_IsSummary]],MAX(INDEX(Tasks[_ShownFcstFinish],Tasks[[#This Row],[_Row]]+1):INDEX(Tasks[_ShownFcstFinish],Tasks[[#This Row],[_Row]]+Tasks[[#This Row],[_Descendants]])),Tasks[[#This Row],[_ShownFcstFinish]]))</f>
        <v/>
      </c>
      <c r="AC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2" s="25" t="str">
        <f aca="false">IF(Tasks[[#This Row],[Task Name]]="","",IF(Tasks[[#This Row],[_IsSummary]],MIN(INDEX(Tasks[_LeafLateStart],Tasks[[#This Row],[_Row]]+1):INDEX(Tasks[_LeafLateStart],Tasks[[#This Row],[_Row]]+Tasks[[#This Row],[_Descendants]])),Tasks[[#This Row],[_LeafLateStart]]))</f>
        <v/>
      </c>
      <c r="AF172" s="25" t="str">
        <f aca="false">IF(Tasks[[#This Row],[Task Name]]="","",IF(Tasks[[#This Row],[_IsSummary]],MAX(INDEX(Tasks[_LeafLateFinish],Tasks[[#This Row],[_Row]]+1):INDEX(Tasks[_LeafLateFinish],Tasks[[#This Row],[_Row]]+Tasks[[#This Row],[_Descendants]])),Tasks[[#This Row],[_LeafLateFinish]]))</f>
        <v/>
      </c>
      <c r="AG172" s="28" t="str">
        <f aca="false">IF(Tasks[[#This Row],[Task Name]]="","",IF(Tasks[[#This Row],[_IsSummary]],MIN(INDEX(Tasks[_LeafTotalSlack],Tasks[[#This Row],[_Row]]+1):INDEX(Tasks[_LeafTotalSlack],Tasks[[#This Row],[_Row]]+Tasks[[#This Row],[_Descendants]])),Tasks[[#This Row],[_LeafTotalSlack]]))</f>
        <v/>
      </c>
      <c r="AH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2" s="28" t="str">
        <f aca="false">IF(Tasks[[#This Row],[Task Name]]="","",IF(IF(Tasks[[#This Row],[_IsSummary]],COUNTIF(INDEX(Tasks[_LeafCritical],Tasks[[#This Row],[_Row]]+1):INDEX(Tasks[_LeafCritical],Tasks[[#This Row],[_Row]]+Tasks[[#This Row],[_Descendants]]),TRUE())&gt;0,Tasks[[#This Row],[_LeafCritical]]),"Yes",""))</f>
        <v/>
      </c>
      <c r="AJ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2" s="89"/>
      <c r="AM1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2" s="28" t="str">
        <f aca="false">IF(Tasks[[#This Row],[Task Name]]="","",IF(Tasks[[#This Row],[Progress]]&gt;=1,"Complete",IF(OR(N(Tasks[[#This Row],[Actual Start]])&gt;0,Tasks[[#This Row],[Progress]]&gt;0),IF(Tasks[[#This Row],[Finish Var]]&gt;0,"Behind","In Progress"),IF(Tasks[[#This Row],[Planned Start]]&lt;StatusDate,"Late Start","Not Started"))))</f>
        <v/>
      </c>
      <c r="AO172" s="30"/>
      <c r="AP172" s="89"/>
      <c r="AQ1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2" s="96" t="str">
        <f aca="false">IF(Tasks[[#This Row],[Task Name]]="","",IF(Tasks[[#This Row],[_IsSummary]],SUM(INDEX(Tasks[_LeafTotalWork],Tasks[[#This Row],[_Row]]+1):INDEX(Tasks[_LeafTotalWork],Tasks[[#This Row],[_Row]]+Tasks[[#This Row],[_Descendants]])),Tasks[[#This Row],[_LeafTotalWork]]))</f>
        <v/>
      </c>
      <c r="AT172" s="97" t="str">
        <f aca="false">IF(Tasks[[#This Row],[Task Name]]="","",IF(Tasks[[#This Row],[_IsSummary]],SUM(INDEX(Tasks[_LeafTotalCost],Tasks[[#This Row],[_Row]]+1):INDEX(Tasks[_LeafTotalCost],Tasks[[#This Row],[_Row]]+Tasks[[#This Row],[_Descendants]])),Tasks[[#This Row],[_LeafTotalCost]]))</f>
        <v/>
      </c>
      <c r="AU172" s="98"/>
      <c r="AV172" s="29"/>
      <c r="AW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2" s="83"/>
      <c r="AY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2" s="30"/>
      <c r="BA172" s="25" t="str">
        <f aca="false">IF(Tasks[[#This Row],[Task Name]]="","",Tasks[[#This Row],[Forecast Start]])</f>
        <v/>
      </c>
      <c r="BB172" s="25" t="str">
        <f aca="false">IF(Tasks[[#This Row],[Task Name]]="","",Tasks[[#This Row],[Forecast Finish]])</f>
        <v/>
      </c>
      <c r="BC172" s="28" t="str">
        <f aca="false">IF(Tasks[[#This Row],[Task Name]]="","",IF(Tasks[[#This Row],[_IsSummary]],NETWORKDAYS.INTL(Tasks[[#This Row],[Forecast Start]],Tasks[[#This Row],[Forecast Finish]],WorkWeek,Holidays),N(Tasks[[#This Row],[Duration]])))</f>
        <v/>
      </c>
      <c r="BD172" s="96" t="str">
        <f aca="false">IF(Tasks[[#This Row],[Task Name]]="","",Tasks[[#This Row],[Work]])</f>
        <v/>
      </c>
      <c r="BE172" s="97" t="str">
        <f aca="false">IF(Tasks[[#This Row],[Task Name]]="","",Tasks[[#This Row],[Cost]])</f>
        <v/>
      </c>
      <c r="BF172" s="75"/>
      <c r="BG172" s="75"/>
      <c r="BH172" s="29"/>
      <c r="BI172" s="99"/>
      <c r="BJ172" s="98"/>
      <c r="BK172" s="28" t="str">
        <f aca="false">IF(OR(Tasks[[#This Row],[Task Name]]="",Tasks[[#This Row],[Baseline Duration]]=""),"",Tasks[[#This Row],[BL Source Duration]]-N(Tasks[[#This Row],[Baseline Duration]]))</f>
        <v/>
      </c>
      <c r="BL172" s="96" t="str">
        <f aca="false">IF(OR(Tasks[[#This Row],[Task Name]]="",Tasks[[#This Row],[Baseline Work]]=""),"",Tasks[[#This Row],[Work]]-N(Tasks[[#This Row],[Baseline Work]]))</f>
        <v/>
      </c>
      <c r="BM172" s="97" t="str">
        <f aca="false">IF(OR(Tasks[[#This Row],[Task Name]]="",Tasks[[#This Row],[Baseline Cost]]=""),"",Tasks[[#This Row],[Cost]]-N(Tasks[[#This Row],[Baseline Cost]]))</f>
        <v/>
      </c>
      <c r="BN172" s="97" t="str">
        <f aca="false">IF(Tasks[[#This Row],[Task Name]]="","",IF(Tasks[[#This Row],[_IsSummary]],SUM(INDEX(Tasks[_LeafBudget],Tasks[[#This Row],[_Row]]+1):INDEX(Tasks[_LeafBudget],Tasks[[#This Row],[_Row]]+Tasks[[#This Row],[_Descendants]])),Tasks[[#This Row],[_LeafBudget]]))</f>
        <v/>
      </c>
      <c r="BO172" s="97" t="str">
        <f aca="false">IF(Tasks[[#This Row],[Task Name]]="","",IF(Tasks[[#This Row],[_IsSummary]],SUM(INDEX(Tasks[_LeafPV],Tasks[[#This Row],[_Row]]+1):INDEX(Tasks[_LeafPV],Tasks[[#This Row],[_Row]]+Tasks[[#This Row],[_Descendants]])),Tasks[[#This Row],[_LeafPV]]))</f>
        <v/>
      </c>
      <c r="BP172" s="97" t="str">
        <f aca="false">IF(Tasks[[#This Row],[Task Name]]="","",IF(Tasks[[#This Row],[_IsSummary]],SUM(INDEX(Tasks[_LeafEV],Tasks[[#This Row],[_Row]]+1):INDEX(Tasks[_LeafEV],Tasks[[#This Row],[_Row]]+Tasks[[#This Row],[_Descendants]])),Tasks[[#This Row],[_LeafEV]]))</f>
        <v/>
      </c>
      <c r="BQ172" s="97" t="str">
        <f aca="false">IF(Tasks[[#This Row],[Task Name]]="","",IF(Tasks[[#This Row],[_IsSummary]],SUM(INDEX(Tasks[_LeafAC],Tasks[[#This Row],[_Row]]+1):INDEX(Tasks[_LeafAC],Tasks[[#This Row],[_Row]]+Tasks[[#This Row],[_Descendants]])),Tasks[[#This Row],[_LeafAC]]))</f>
        <v/>
      </c>
      <c r="BR172" s="41" t="str">
        <f aca="false">IF(Tasks[[#This Row],[Task Name]]="","",MAX(1,N(Tasks[[#This Row],[Level]])))</f>
        <v/>
      </c>
      <c r="BS172" s="41" t="n">
        <f aca="false">ROW()-ROW(Tasks[[#Headers],[ID]])</f>
        <v>167</v>
      </c>
      <c r="BT172" s="41" t="n">
        <f aca="false">IF(OR(Tasks[[#This Row],[Task Name]]="",Tasks[[#This Row],[_Level]]&lt;=1),0,IFERROR(LOOKUP(2,1/(Tasks[[#Headers],[_Level]]:Tasks[[#This Row],[_Level]]=Tasks[[#This Row],[_Level]]-1),ROW(Tasks[[#Headers],[_Level]]:Tasks[[#This Row],[_Level]])),0))</f>
        <v>0</v>
      </c>
      <c r="BU172" s="41" t="n">
        <f aca="false">IFERROR(N(INDEX(Tasks[_Level],Tasks[[#This Row],[_Row]]+1)),0)</f>
        <v>0</v>
      </c>
      <c r="BV172" s="100" t="b">
        <f aca="false">AND(Tasks[[#This Row],[Task Name]]&lt;&gt;"",Tasks[[#This Row],[_NextLevel]]&gt;Tasks[[#This Row],[_Level]])</f>
        <v>0</v>
      </c>
      <c r="BW172" s="41" t="n">
        <f aca="false">IF(Tasks[[#This Row],[_IsSummary]],COUNTIF(Tasks[WBS],Tasks[[#This Row],[WBS]]&amp;".*"),0)</f>
        <v>0</v>
      </c>
      <c r="BX172" s="41" t="n">
        <f aca="false">IF(AND(Tasks[[#This Row],[Task Name]]&lt;&gt;"",NOT(Tasks[[#This Row],[_IsSummary]])),1,0)</f>
        <v>0</v>
      </c>
      <c r="BY172" s="41" t="n">
        <f aca="false">IF(N(Tasks[[#This Row],[Pred1 UID]])=0,0,IFERROR(MATCH(Tasks[[#This Row],[Pred1 UID]],Tasks[UID],0),-1))</f>
        <v>0</v>
      </c>
      <c r="BZ172" s="41" t="n">
        <f aca="false">IF(N(Tasks[[#This Row],[Pred2 UID]])=0,0,IFERROR(MATCH(Tasks[[#This Row],[Pred2 UID]],Tasks[UID],0),-1))</f>
        <v>0</v>
      </c>
      <c r="CA172" s="41" t="n">
        <f aca="false">IF(N(Tasks[[#This Row],[Pred3 UID]])=0,0,IFERROR(MATCH(Tasks[[#This Row],[Pred3 UID]],Tasks[UID],0),-1))</f>
        <v>0</v>
      </c>
      <c r="CB172" s="41" t="n">
        <f aca="false">IF(N(Tasks[[#This Row],[Pred4 UID]])=0,0,IFERROR(MATCH(Tasks[[#This Row],[Pred4 UID]],Tasks[UID],0),-1))</f>
        <v>0</v>
      </c>
      <c r="CC1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2" s="101" t="n">
        <f aca="false">IF(OR(Tasks[[#This Row],[_ConstraintCode]]=2,Tasks[[#This Row],[_ConstraintCode]]=3,Tasks[[#This Row],[_ConstraintCode]]=4,Tasks[[#This Row],[_ConstraintCode]]=6),Tasks[[#This Row],[_ConstraintStart]],0)</f>
        <v>0</v>
      </c>
      <c r="CF172" s="101" t="n">
        <f aca="false">IF(OR(Tasks[[#This Row],[_ConstraintCode]]=2,Tasks[[#This Row],[_ConstraintCode]]=3,Tasks[[#This Row],[_ConstraintCode]]=5,Tasks[[#This Row],[_ConstraintCode]]=7),Tasks[[#This Row],[_ConstraintStart]],2958465)</f>
        <v>2958465</v>
      </c>
      <c r="CG17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2" s="101" t="str">
        <f aca="false">IF(NOT(Tasks[[#This Row],[_IsLeaf]]=1),"",IF(N(Tasks[[#This Row],[Duration]])&lt;=0,Tasks[[#This Row],[_LeafCalcStart]],WORKDAY.INTL(Tasks[[#This Row],[_LeafCalcStart]],Tasks[[#This Row],[Duration]]-1,WorkWeek,Holidays)))</f>
        <v/>
      </c>
      <c r="CI17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2" s="41" t="n">
        <f aca="false">IF(NOT(Tasks[[#This Row],[_IsLeaf]]=1),0,IF(N(Tasks[[#This Row],[Actual Finish]])&gt;0,1,MIN(1,N(Tasks[[#This Row],[% Complete]]))))</f>
        <v>0</v>
      </c>
      <c r="CL172" s="41" t="n">
        <f aca="false">IF(OR(NOT(Tasks[[#This Row],[_IsLeaf]]=1),Tasks[[#This Row],[Resource]]=""),0,N(Tasks[[#This Row],[Duration]])*HoursPerDay*IF(Tasks[[#This Row],[Units]]="",DefaultUnits,Tasks[[#This Row],[Units]]))</f>
        <v>0</v>
      </c>
      <c r="CM172" s="41" t="n">
        <f aca="false">IF(Tasks[[#This Row],[_LeafWork]]=0,0,Tasks[[#This Row],[_LeafWork]]*IFERROR(INDEX(res_Rate,MATCH(Tasks[[#This Row],[Resource]],res_Name,0)),0))</f>
        <v>0</v>
      </c>
      <c r="CN172" s="41" t="n">
        <f aca="false">Tasks[[#This Row],[_LeafWork]]+IF(Tasks[[#This Row],[_IsLeaf]]=1,SUMIFS(asg_Work,asg_TaskUID,Tasks[[#This Row],[UID]],asg_Valid,1),0)</f>
        <v>0</v>
      </c>
      <c r="CO172" s="41" t="n">
        <f aca="false">Tasks[[#This Row],[_LeafCost]]+IF(Tasks[[#This Row],[_IsLeaf]]=1,SUMIFS(asg_Cost,asg_TaskUID,Tasks[[#This Row],[UID]],asg_Valid,1),0)</f>
        <v>0</v>
      </c>
      <c r="CP172" s="41" t="n">
        <f aca="false">IF(Tasks[[#This Row],[_LeafTotalCost]]=0,Tasks[[#This Row],[_LeafAC]],Tasks[[#This Row],[_LeafAC]]*Tasks[[#This Row],[_LeafCost]]/Tasks[[#This Row],[_LeafTotalCost]])</f>
        <v>0</v>
      </c>
      <c r="CQ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2" s="41" t="n">
        <f aca="false">IF(NOT(Tasks[[#This Row],[_IsLeaf]]=1),0,MAX(_xlfn.MAXIFS(Tasks[_Row],Tasks[Pred1 UID],Tasks[[#This Row],[UID]]),_xlfn.MAXIFS(Tasks[_Row],Tasks[Pred2 UID],Tasks[[#This Row],[UID]]),_xlfn.MAXIFS(Tasks[_Row],Tasks[Pred3 UID],Tasks[[#This Row],[UID]]),_xlfn.MAXIFS(Tasks[_Row],Tasks[Pred4 UID],Tasks[[#This Row],[UID]])))</f>
        <v>0</v>
      </c>
      <c r="CZ1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2" s="101" t="str">
        <f aca="false">IF(NOT(Tasks[[#This Row],[_IsLeaf]]=1),"",IF(N(Tasks[[#This Row],[Duration]])&lt;=0,Tasks[[#This Row],[_LeafLateFinish]],WORKDAY.INTL(Tasks[[#This Row],[_LeafLateFinish]],-(Tasks[[#This Row],[Duration]]-1),WorkWeek,Holidays)))</f>
        <v/>
      </c>
      <c r="DC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2" s="100" t="b">
        <f aca="false">AND(Tasks[[#This Row],[_IsLeaf]]=1,Tasks[[#This Row],[_LeafProgress]]&lt;1,N(Tasks[[#This Row],[_LeafTotalSlack]])&lt;=CriticalSlackDays)</f>
        <v>0</v>
      </c>
      <c r="DE172" s="41" t="n">
        <f aca="false">IF(AND(Tasks[[#This Row],[_IsLeaf]]=1,Tasks[[#This Row],[_ConstraintCode]]=1,Tasks[[#This Row],[Mode]]&lt;&gt;"Manual",N(Tasks[[#This Row],[Actual Start]])=0),MAX(0,N(Tasks[[#This Row],[Free Slack]])),0)</f>
        <v>0</v>
      </c>
      <c r="DF172" s="101" t="str">
        <f aca="false">IF(NOT(Tasks[[#This Row],[_IsLeaf]]=1),"",IF(Tasks[[#This Row],[_AlapShift]]=0,Tasks[[#This Row],[_LeafCalcStart]],WORKDAY.INTL(Tasks[[#This Row],[_LeafCalcStart]],Tasks[[#This Row],[_AlapShift]],WorkWeek,Holidays)))</f>
        <v/>
      </c>
      <c r="DG172" s="101" t="str">
        <f aca="false">IF(NOT(Tasks[[#This Row],[_IsLeaf]]=1),"",IF(Tasks[[#This Row],[_AlapShift]]=0,Tasks[[#This Row],[_LeafCalcFinish]],WORKDAY.INTL(Tasks[[#This Row],[_LeafCalcFinish]],Tasks[[#This Row],[_AlapShift]],WorkWeek,Holidays)))</f>
        <v/>
      </c>
      <c r="DH172" s="101" t="str">
        <f aca="false">IF(NOT(Tasks[[#This Row],[_IsLeaf]]=1),"",IF(Tasks[[#This Row],[_AlapShift]]=0,Tasks[[#This Row],[_LeafFcstStart]],WORKDAY.INTL(Tasks[[#This Row],[_LeafFcstStart]],Tasks[[#This Row],[_AlapShift]],WorkWeek,Holidays)))</f>
        <v/>
      </c>
      <c r="DI172" s="101" t="str">
        <f aca="false">IF(NOT(Tasks[[#This Row],[_IsLeaf]]=1),"",IF(Tasks[[#This Row],[_AlapShift]]=0,Tasks[[#This Row],[_LeafFcstFinish]],WORKDAY.INTL(Tasks[[#This Row],[_LeafFcstFinish]],Tasks[[#This Row],[_AlapShift]],WorkWeek,Holidays)))</f>
        <v/>
      </c>
      <c r="DJ172" s="101" t="str">
        <f aca="false">IF(Tasks[[#This Row],[Task Name]]="","",IF(Tasks[[#This Row],[_IsSummary]],MIN(INDEX(Tasks[_ShownCalcStart],Tasks[[#This Row],[_Row]]+1):INDEX(Tasks[_ShownCalcStart],Tasks[[#This Row],[_Row]]+Tasks[[#This Row],[_Descendants]])),Tasks[[#This Row],[_ShownCalcStart]]))</f>
        <v/>
      </c>
      <c r="DK172" s="101" t="str">
        <f aca="false">IF(Tasks[[#This Row],[Task Name]]="","",IF(Tasks[[#This Row],[_IsSummary]],MAX(INDEX(Tasks[_ShownCalcFinish],Tasks[[#This Row],[_Row]]+1):INDEX(Tasks[_ShownCalcFinish],Tasks[[#This Row],[_Row]]+Tasks[[#This Row],[_Descendants]])),Tasks[[#This Row],[_ShownCalcFinish]]))</f>
        <v/>
      </c>
      <c r="D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2" s="41" t="n">
        <f aca="false">IF(AND(Tasks[[#This Row],[_IsLeaf]]=1,Tasks[[#This Row],[_LeafTotalWork]]&gt;0),NETWORKDAYS.INTL(ProjectStart,Tasks[[#This Row],[_ShownFcstStart]],WorkWeek,Holidays),0)</f>
        <v>0</v>
      </c>
      <c r="DY172" s="41" t="n">
        <f aca="false">IF(AND(Tasks[[#This Row],[_IsLeaf]]=1,Tasks[[#This Row],[_LeafTotalWork]]&gt;0),MAX(Tasks[[#This Row],[_StartWorkday]],NETWORKDAYS.INTL(ProjectStart,Tasks[[#This Row],[_ShownFcstFinish]],WorkWeek,Holidays)),0)</f>
        <v>0</v>
      </c>
      <c r="DZ172" s="41" t="n">
        <f aca="false">IF(AND(Tasks[[#This Row],[_IsLeaf]]=1,Tasks[[#This Row],[_LeafTotalWork]]&gt;0),Tasks[[#This Row],[_LeafWork]]/(Tasks[[#This Row],[_FinishWorkday]]-Tasks[[#This Row],[_StartWorkday]]+1),0)</f>
        <v>0</v>
      </c>
      <c r="EA172" s="41" t="n">
        <f aca="false">Tasks[[#This Row],[_WorkPerWorkday]]*(Tasks[[#This Row],[_StartWorkday]]-1)</f>
        <v>-0</v>
      </c>
      <c r="EB172" s="41" t="n">
        <f aca="false">IF(Tasks[[#This Row],[_IsLeaf]]=1,MAX(N(Tasks[[#This Row],[Duration]]),0.1),0)</f>
        <v>0</v>
      </c>
      <c r="EC172" s="41" t="n">
        <f aca="false">Tasks[[#This Row],[_WeightDur]]*Tasks[[#This Row],[_LeafProgress]]</f>
        <v>0</v>
      </c>
      <c r="ED1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2" s="41" t="str">
        <f aca="false">IF(AND(Tasks[[#This Row],[_IsLeaf]]=1,N(Tasks[[#This Row],[Duration]])=0,Tasks[[#This Row],[_LeafProgress]]&lt;1),Tasks[[#This Row],[_ShownFcstFinish]]+Tasks[[#This Row],[_Row]]/100000,"")</f>
        <v/>
      </c>
      <c r="EF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2" s="41" t="n">
        <f aca="false">IF(NOT(Tasks[[#This Row],[_IsLeaf]]=1),0,IF(Tasks[[#This Row],[Baseline Cost]]="",Tasks[[#This Row],[_LeafTotalCost]],N(Tasks[[#This Row],[Baseline Cost]])))</f>
        <v>0</v>
      </c>
      <c r="EH172" s="41" t="n">
        <f aca="false">Tasks[[#This Row],[_LeafBudget]]*Tasks[[#This Row],[_PlannedPct]]</f>
        <v>0</v>
      </c>
      <c r="EI172" s="41" t="n">
        <f aca="false">Tasks[[#This Row],[_LeafBudget]]*Tasks[[#This Row],[_LeafProgress]]</f>
        <v>0</v>
      </c>
      <c r="EJ172" s="41" t="n">
        <f aca="false">IF(NOT(Tasks[[#This Row],[_IsLeaf]]=1),0,IF(Tasks[[#This Row],[Actual Cost]]="",Tasks[[#This Row],[_LeafTotalCost]]*Tasks[[#This Row],[_LeafProgress]],N(Tasks[[#This Row],[Actual Cost]])))</f>
        <v>0</v>
      </c>
      <c r="EK172" s="41" t="str">
        <f aca="false">IF(Tasks[[#This Row],[Task Name]]="","",LEFT(Tasks[[#This Row],[WBS]],FIND(".",Tasks[[#This Row],[WBS]]&amp;".")-1))</f>
        <v/>
      </c>
      <c r="EL172" s="41" t="str">
        <f aca="false">IF(AND(Tasks[[#This Row],[Task Name]]&lt;&gt;"",Tasks[[#This Row],[_Level]]=1),Tasks[[#This Row],[_Row]],"")</f>
        <v/>
      </c>
      <c r="EM172" s="41" t="str">
        <f aca="false">IF(AND(Tasks[[#This Row],[_IsLeaf]]=1,N(Tasks[[#This Row],[Duration]])=0),Tasks[[#This Row],[Planned Finish]]+Tasks[[#This Row],[_Row]]/100000,"")</f>
        <v/>
      </c>
      <c r="EN172" s="41" t="str">
        <f aca="false">IF(AND(Tasks[[#This Row],[_IsLeaf]]=1,Tasks[[#This Row],[_LeafProgress]]&lt;1,OR(N(Tasks[[#This Row],[Finish Var]])&gt;0,Tasks[[#This Row],[Status]]="Late Start")),MAX(0,Tasks[[#This Row],[Finish Var]])+1-Tasks[[#This Row],[_Row]]/1000000,"")</f>
        <v/>
      </c>
      <c r="EO172" s="41" t="str">
        <f aca="false">IF(AND(Tasks[[#This Row],[_IsLeaf]]=1,N(Tasks[[#This Row],[Actual Start]])=0,Tasks[[#This Row],[_ShownFcstStart]]&gt;=StatusDate,Tasks[[#This Row],[_ShownFcstStart]]&lt;=LookaheadEnd),Tasks[[#This Row],[_ShownFcstStart]]+Tasks[[#This Row],[_Row]]/100000,"")</f>
        <v/>
      </c>
      <c r="EP172" s="41" t="str">
        <f aca="false">IF(AND(Tasks[[#This Row],[_IsLeaf]]=1,Tasks[[#This Row],[_LeafProgress]]&lt;1,Tasks[[#This Row],[_ShownFcstFinish]]&gt;=StatusDate,Tasks[[#This Row],[_ShownFcstFinish]]&lt;=LookaheadEnd),Tasks[[#This Row],[_ShownFcstFinish]]+Tasks[[#This Row],[_Row]]/100000,"")</f>
        <v/>
      </c>
      <c r="EQ172" s="41" t="str">
        <f aca="false">IF(Tasks[[#This Row],[_LeafCritical]],Tasks[[#This Row],[_ShownFcstStart]]+Tasks[[#This Row],[_Row]]/100000,"")</f>
        <v/>
      </c>
      <c r="ER172" s="41" t="n">
        <f aca="false">Tasks[[#This Row],[_LeafWork]]*Tasks[[#This Row],[_LeafProgress]]</f>
        <v>0</v>
      </c>
      <c r="ES172" s="101" t="str">
        <f aca="false">IF(AND(Tasks[[#This Row],[_IsLeaf]]=1,Tasks[[#This Row],[_LeafProgress]]&gt;=1),IF(N(Tasks[[#This Row],[Actual Finish]])&gt;0,Tasks[[#This Row],[Actual Finish]],Tasks[[#This Row],[_ShownFcstFinish]]),"")</f>
        <v/>
      </c>
      <c r="ET172" s="41" t="n">
        <f aca="false">IF(Tasks[[#This Row],[_IsLeaf]]=1,N(Tasks[[#This Row],[Story Points]]),0)</f>
        <v>0</v>
      </c>
      <c r="EU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29"/>
      <c r="O173" s="29"/>
      <c r="P173" s="29"/>
      <c r="Q173" s="29"/>
      <c r="R173" s="29"/>
      <c r="S173" s="29"/>
      <c r="T173" s="30"/>
      <c r="U173" s="75"/>
      <c r="V173" s="75"/>
      <c r="W173" s="25" t="str">
        <f aca="false">IF(Tasks[[#This Row],[Task Name]]="","",IF(N(Tasks[[#This Row],[Baseline Start]])&gt;0,Tasks[[#This Row],[Baseline Start]],Tasks[[#This Row],[_CalcStart]]))</f>
        <v/>
      </c>
      <c r="X173" s="25" t="str">
        <f aca="false">IF(Tasks[[#This Row],[Task Name]]="","",IF(N(Tasks[[#This Row],[Baseline Finish]])&gt;0,Tasks[[#This Row],[Baseline Finish]],Tasks[[#This Row],[_CalcFinish]]))</f>
        <v/>
      </c>
      <c r="Y173" s="75"/>
      <c r="Z173" s="75"/>
      <c r="AA173" s="25" t="str">
        <f aca="false">IF(Tasks[[#This Row],[Task Name]]="","",IF(Tasks[[#This Row],[_IsSummary]],MIN(INDEX(Tasks[_ShownFcstStart],Tasks[[#This Row],[_Row]]+1):INDEX(Tasks[_ShownFcstStart],Tasks[[#This Row],[_Row]]+Tasks[[#This Row],[_Descendants]])),Tasks[[#This Row],[_ShownFcstStart]]))</f>
        <v/>
      </c>
      <c r="AB173" s="25" t="str">
        <f aca="false">IF(Tasks[[#This Row],[Task Name]]="","",IF(Tasks[[#This Row],[_IsSummary]],MAX(INDEX(Tasks[_ShownFcstFinish],Tasks[[#This Row],[_Row]]+1):INDEX(Tasks[_ShownFcstFinish],Tasks[[#This Row],[_Row]]+Tasks[[#This Row],[_Descendants]])),Tasks[[#This Row],[_ShownFcstFinish]]))</f>
        <v/>
      </c>
      <c r="AC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3" s="25" t="str">
        <f aca="false">IF(Tasks[[#This Row],[Task Name]]="","",IF(Tasks[[#This Row],[_IsSummary]],MIN(INDEX(Tasks[_LeafLateStart],Tasks[[#This Row],[_Row]]+1):INDEX(Tasks[_LeafLateStart],Tasks[[#This Row],[_Row]]+Tasks[[#This Row],[_Descendants]])),Tasks[[#This Row],[_LeafLateStart]]))</f>
        <v/>
      </c>
      <c r="AF173" s="25" t="str">
        <f aca="false">IF(Tasks[[#This Row],[Task Name]]="","",IF(Tasks[[#This Row],[_IsSummary]],MAX(INDEX(Tasks[_LeafLateFinish],Tasks[[#This Row],[_Row]]+1):INDEX(Tasks[_LeafLateFinish],Tasks[[#This Row],[_Row]]+Tasks[[#This Row],[_Descendants]])),Tasks[[#This Row],[_LeafLateFinish]]))</f>
        <v/>
      </c>
      <c r="AG173" s="28" t="str">
        <f aca="false">IF(Tasks[[#This Row],[Task Name]]="","",IF(Tasks[[#This Row],[_IsSummary]],MIN(INDEX(Tasks[_LeafTotalSlack],Tasks[[#This Row],[_Row]]+1):INDEX(Tasks[_LeafTotalSlack],Tasks[[#This Row],[_Row]]+Tasks[[#This Row],[_Descendants]])),Tasks[[#This Row],[_LeafTotalSlack]]))</f>
        <v/>
      </c>
      <c r="AH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3" s="28" t="str">
        <f aca="false">IF(Tasks[[#This Row],[Task Name]]="","",IF(IF(Tasks[[#This Row],[_IsSummary]],COUNTIF(INDEX(Tasks[_LeafCritical],Tasks[[#This Row],[_Row]]+1):INDEX(Tasks[_LeafCritical],Tasks[[#This Row],[_Row]]+Tasks[[#This Row],[_Descendants]]),TRUE())&gt;0,Tasks[[#This Row],[_LeafCritical]]),"Yes",""))</f>
        <v/>
      </c>
      <c r="AJ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3" s="89"/>
      <c r="AM1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3" s="28" t="str">
        <f aca="false">IF(Tasks[[#This Row],[Task Name]]="","",IF(Tasks[[#This Row],[Progress]]&gt;=1,"Complete",IF(OR(N(Tasks[[#This Row],[Actual Start]])&gt;0,Tasks[[#This Row],[Progress]]&gt;0),IF(Tasks[[#This Row],[Finish Var]]&gt;0,"Behind","In Progress"),IF(Tasks[[#This Row],[Planned Start]]&lt;StatusDate,"Late Start","Not Started"))))</f>
        <v/>
      </c>
      <c r="AO173" s="30"/>
      <c r="AP173" s="89"/>
      <c r="AQ1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3" s="96" t="str">
        <f aca="false">IF(Tasks[[#This Row],[Task Name]]="","",IF(Tasks[[#This Row],[_IsSummary]],SUM(INDEX(Tasks[_LeafTotalWork],Tasks[[#This Row],[_Row]]+1):INDEX(Tasks[_LeafTotalWork],Tasks[[#This Row],[_Row]]+Tasks[[#This Row],[_Descendants]])),Tasks[[#This Row],[_LeafTotalWork]]))</f>
        <v/>
      </c>
      <c r="AT173" s="97" t="str">
        <f aca="false">IF(Tasks[[#This Row],[Task Name]]="","",IF(Tasks[[#This Row],[_IsSummary]],SUM(INDEX(Tasks[_LeafTotalCost],Tasks[[#This Row],[_Row]]+1):INDEX(Tasks[_LeafTotalCost],Tasks[[#This Row],[_Row]]+Tasks[[#This Row],[_Descendants]])),Tasks[[#This Row],[_LeafTotalCost]]))</f>
        <v/>
      </c>
      <c r="AU173" s="98"/>
      <c r="AV173" s="29"/>
      <c r="AW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3" s="83"/>
      <c r="AY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3" s="30"/>
      <c r="BA173" s="25" t="str">
        <f aca="false">IF(Tasks[[#This Row],[Task Name]]="","",Tasks[[#This Row],[Forecast Start]])</f>
        <v/>
      </c>
      <c r="BB173" s="25" t="str">
        <f aca="false">IF(Tasks[[#This Row],[Task Name]]="","",Tasks[[#This Row],[Forecast Finish]])</f>
        <v/>
      </c>
      <c r="BC173" s="28" t="str">
        <f aca="false">IF(Tasks[[#This Row],[Task Name]]="","",IF(Tasks[[#This Row],[_IsSummary]],NETWORKDAYS.INTL(Tasks[[#This Row],[Forecast Start]],Tasks[[#This Row],[Forecast Finish]],WorkWeek,Holidays),N(Tasks[[#This Row],[Duration]])))</f>
        <v/>
      </c>
      <c r="BD173" s="96" t="str">
        <f aca="false">IF(Tasks[[#This Row],[Task Name]]="","",Tasks[[#This Row],[Work]])</f>
        <v/>
      </c>
      <c r="BE173" s="97" t="str">
        <f aca="false">IF(Tasks[[#This Row],[Task Name]]="","",Tasks[[#This Row],[Cost]])</f>
        <v/>
      </c>
      <c r="BF173" s="75"/>
      <c r="BG173" s="75"/>
      <c r="BH173" s="29"/>
      <c r="BI173" s="99"/>
      <c r="BJ173" s="98"/>
      <c r="BK173" s="28" t="str">
        <f aca="false">IF(OR(Tasks[[#This Row],[Task Name]]="",Tasks[[#This Row],[Baseline Duration]]=""),"",Tasks[[#This Row],[BL Source Duration]]-N(Tasks[[#This Row],[Baseline Duration]]))</f>
        <v/>
      </c>
      <c r="BL173" s="96" t="str">
        <f aca="false">IF(OR(Tasks[[#This Row],[Task Name]]="",Tasks[[#This Row],[Baseline Work]]=""),"",Tasks[[#This Row],[Work]]-N(Tasks[[#This Row],[Baseline Work]]))</f>
        <v/>
      </c>
      <c r="BM173" s="97" t="str">
        <f aca="false">IF(OR(Tasks[[#This Row],[Task Name]]="",Tasks[[#This Row],[Baseline Cost]]=""),"",Tasks[[#This Row],[Cost]]-N(Tasks[[#This Row],[Baseline Cost]]))</f>
        <v/>
      </c>
      <c r="BN173" s="97" t="str">
        <f aca="false">IF(Tasks[[#This Row],[Task Name]]="","",IF(Tasks[[#This Row],[_IsSummary]],SUM(INDEX(Tasks[_LeafBudget],Tasks[[#This Row],[_Row]]+1):INDEX(Tasks[_LeafBudget],Tasks[[#This Row],[_Row]]+Tasks[[#This Row],[_Descendants]])),Tasks[[#This Row],[_LeafBudget]]))</f>
        <v/>
      </c>
      <c r="BO173" s="97" t="str">
        <f aca="false">IF(Tasks[[#This Row],[Task Name]]="","",IF(Tasks[[#This Row],[_IsSummary]],SUM(INDEX(Tasks[_LeafPV],Tasks[[#This Row],[_Row]]+1):INDEX(Tasks[_LeafPV],Tasks[[#This Row],[_Row]]+Tasks[[#This Row],[_Descendants]])),Tasks[[#This Row],[_LeafPV]]))</f>
        <v/>
      </c>
      <c r="BP173" s="97" t="str">
        <f aca="false">IF(Tasks[[#This Row],[Task Name]]="","",IF(Tasks[[#This Row],[_IsSummary]],SUM(INDEX(Tasks[_LeafEV],Tasks[[#This Row],[_Row]]+1):INDEX(Tasks[_LeafEV],Tasks[[#This Row],[_Row]]+Tasks[[#This Row],[_Descendants]])),Tasks[[#This Row],[_LeafEV]]))</f>
        <v/>
      </c>
      <c r="BQ173" s="97" t="str">
        <f aca="false">IF(Tasks[[#This Row],[Task Name]]="","",IF(Tasks[[#This Row],[_IsSummary]],SUM(INDEX(Tasks[_LeafAC],Tasks[[#This Row],[_Row]]+1):INDEX(Tasks[_LeafAC],Tasks[[#This Row],[_Row]]+Tasks[[#This Row],[_Descendants]])),Tasks[[#This Row],[_LeafAC]]))</f>
        <v/>
      </c>
      <c r="BR173" s="41" t="str">
        <f aca="false">IF(Tasks[[#This Row],[Task Name]]="","",MAX(1,N(Tasks[[#This Row],[Level]])))</f>
        <v/>
      </c>
      <c r="BS173" s="41" t="n">
        <f aca="false">ROW()-ROW(Tasks[[#Headers],[ID]])</f>
        <v>168</v>
      </c>
      <c r="BT173" s="41" t="n">
        <f aca="false">IF(OR(Tasks[[#This Row],[Task Name]]="",Tasks[[#This Row],[_Level]]&lt;=1),0,IFERROR(LOOKUP(2,1/(Tasks[[#Headers],[_Level]]:Tasks[[#This Row],[_Level]]=Tasks[[#This Row],[_Level]]-1),ROW(Tasks[[#Headers],[_Level]]:Tasks[[#This Row],[_Level]])),0))</f>
        <v>0</v>
      </c>
      <c r="BU173" s="41" t="n">
        <f aca="false">IFERROR(N(INDEX(Tasks[_Level],Tasks[[#This Row],[_Row]]+1)),0)</f>
        <v>0</v>
      </c>
      <c r="BV173" s="100" t="b">
        <f aca="false">AND(Tasks[[#This Row],[Task Name]]&lt;&gt;"",Tasks[[#This Row],[_NextLevel]]&gt;Tasks[[#This Row],[_Level]])</f>
        <v>0</v>
      </c>
      <c r="BW173" s="41" t="n">
        <f aca="false">IF(Tasks[[#This Row],[_IsSummary]],COUNTIF(Tasks[WBS],Tasks[[#This Row],[WBS]]&amp;".*"),0)</f>
        <v>0</v>
      </c>
      <c r="BX173" s="41" t="n">
        <f aca="false">IF(AND(Tasks[[#This Row],[Task Name]]&lt;&gt;"",NOT(Tasks[[#This Row],[_IsSummary]])),1,0)</f>
        <v>0</v>
      </c>
      <c r="BY173" s="41" t="n">
        <f aca="false">IF(N(Tasks[[#This Row],[Pred1 UID]])=0,0,IFERROR(MATCH(Tasks[[#This Row],[Pred1 UID]],Tasks[UID],0),-1))</f>
        <v>0</v>
      </c>
      <c r="BZ173" s="41" t="n">
        <f aca="false">IF(N(Tasks[[#This Row],[Pred2 UID]])=0,0,IFERROR(MATCH(Tasks[[#This Row],[Pred2 UID]],Tasks[UID],0),-1))</f>
        <v>0</v>
      </c>
      <c r="CA173" s="41" t="n">
        <f aca="false">IF(N(Tasks[[#This Row],[Pred3 UID]])=0,0,IFERROR(MATCH(Tasks[[#This Row],[Pred3 UID]],Tasks[UID],0),-1))</f>
        <v>0</v>
      </c>
      <c r="CB173" s="41" t="n">
        <f aca="false">IF(N(Tasks[[#This Row],[Pred4 UID]])=0,0,IFERROR(MATCH(Tasks[[#This Row],[Pred4 UID]],Tasks[UID],0),-1))</f>
        <v>0</v>
      </c>
      <c r="CC1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3" s="101" t="n">
        <f aca="false">IF(OR(Tasks[[#This Row],[_ConstraintCode]]=2,Tasks[[#This Row],[_ConstraintCode]]=3,Tasks[[#This Row],[_ConstraintCode]]=4,Tasks[[#This Row],[_ConstraintCode]]=6),Tasks[[#This Row],[_ConstraintStart]],0)</f>
        <v>0</v>
      </c>
      <c r="CF173" s="101" t="n">
        <f aca="false">IF(OR(Tasks[[#This Row],[_ConstraintCode]]=2,Tasks[[#This Row],[_ConstraintCode]]=3,Tasks[[#This Row],[_ConstraintCode]]=5,Tasks[[#This Row],[_ConstraintCode]]=7),Tasks[[#This Row],[_ConstraintStart]],2958465)</f>
        <v>2958465</v>
      </c>
      <c r="CG17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3" s="101" t="str">
        <f aca="false">IF(NOT(Tasks[[#This Row],[_IsLeaf]]=1),"",IF(N(Tasks[[#This Row],[Duration]])&lt;=0,Tasks[[#This Row],[_LeafCalcStart]],WORKDAY.INTL(Tasks[[#This Row],[_LeafCalcStart]],Tasks[[#This Row],[Duration]]-1,WorkWeek,Holidays)))</f>
        <v/>
      </c>
      <c r="CI17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3" s="41" t="n">
        <f aca="false">IF(NOT(Tasks[[#This Row],[_IsLeaf]]=1),0,IF(N(Tasks[[#This Row],[Actual Finish]])&gt;0,1,MIN(1,N(Tasks[[#This Row],[% Complete]]))))</f>
        <v>0</v>
      </c>
      <c r="CL173" s="41" t="n">
        <f aca="false">IF(OR(NOT(Tasks[[#This Row],[_IsLeaf]]=1),Tasks[[#This Row],[Resource]]=""),0,N(Tasks[[#This Row],[Duration]])*HoursPerDay*IF(Tasks[[#This Row],[Units]]="",DefaultUnits,Tasks[[#This Row],[Units]]))</f>
        <v>0</v>
      </c>
      <c r="CM173" s="41" t="n">
        <f aca="false">IF(Tasks[[#This Row],[_LeafWork]]=0,0,Tasks[[#This Row],[_LeafWork]]*IFERROR(INDEX(res_Rate,MATCH(Tasks[[#This Row],[Resource]],res_Name,0)),0))</f>
        <v>0</v>
      </c>
      <c r="CN173" s="41" t="n">
        <f aca="false">Tasks[[#This Row],[_LeafWork]]+IF(Tasks[[#This Row],[_IsLeaf]]=1,SUMIFS(asg_Work,asg_TaskUID,Tasks[[#This Row],[UID]],asg_Valid,1),0)</f>
        <v>0</v>
      </c>
      <c r="CO173" s="41" t="n">
        <f aca="false">Tasks[[#This Row],[_LeafCost]]+IF(Tasks[[#This Row],[_IsLeaf]]=1,SUMIFS(asg_Cost,asg_TaskUID,Tasks[[#This Row],[UID]],asg_Valid,1),0)</f>
        <v>0</v>
      </c>
      <c r="CP173" s="41" t="n">
        <f aca="false">IF(Tasks[[#This Row],[_LeafTotalCost]]=0,Tasks[[#This Row],[_LeafAC]],Tasks[[#This Row],[_LeafAC]]*Tasks[[#This Row],[_LeafCost]]/Tasks[[#This Row],[_LeafTotalCost]])</f>
        <v>0</v>
      </c>
      <c r="CQ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3" s="41" t="n">
        <f aca="false">IF(NOT(Tasks[[#This Row],[_IsLeaf]]=1),0,MAX(_xlfn.MAXIFS(Tasks[_Row],Tasks[Pred1 UID],Tasks[[#This Row],[UID]]),_xlfn.MAXIFS(Tasks[_Row],Tasks[Pred2 UID],Tasks[[#This Row],[UID]]),_xlfn.MAXIFS(Tasks[_Row],Tasks[Pred3 UID],Tasks[[#This Row],[UID]]),_xlfn.MAXIFS(Tasks[_Row],Tasks[Pred4 UID],Tasks[[#This Row],[UID]])))</f>
        <v>0</v>
      </c>
      <c r="CZ1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3" s="101" t="str">
        <f aca="false">IF(NOT(Tasks[[#This Row],[_IsLeaf]]=1),"",IF(N(Tasks[[#This Row],[Duration]])&lt;=0,Tasks[[#This Row],[_LeafLateFinish]],WORKDAY.INTL(Tasks[[#This Row],[_LeafLateFinish]],-(Tasks[[#This Row],[Duration]]-1),WorkWeek,Holidays)))</f>
        <v/>
      </c>
      <c r="DC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3" s="100" t="b">
        <f aca="false">AND(Tasks[[#This Row],[_IsLeaf]]=1,Tasks[[#This Row],[_LeafProgress]]&lt;1,N(Tasks[[#This Row],[_LeafTotalSlack]])&lt;=CriticalSlackDays)</f>
        <v>0</v>
      </c>
      <c r="DE173" s="41" t="n">
        <f aca="false">IF(AND(Tasks[[#This Row],[_IsLeaf]]=1,Tasks[[#This Row],[_ConstraintCode]]=1,Tasks[[#This Row],[Mode]]&lt;&gt;"Manual",N(Tasks[[#This Row],[Actual Start]])=0),MAX(0,N(Tasks[[#This Row],[Free Slack]])),0)</f>
        <v>0</v>
      </c>
      <c r="DF173" s="101" t="str">
        <f aca="false">IF(NOT(Tasks[[#This Row],[_IsLeaf]]=1),"",IF(Tasks[[#This Row],[_AlapShift]]=0,Tasks[[#This Row],[_LeafCalcStart]],WORKDAY.INTL(Tasks[[#This Row],[_LeafCalcStart]],Tasks[[#This Row],[_AlapShift]],WorkWeek,Holidays)))</f>
        <v/>
      </c>
      <c r="DG173" s="101" t="str">
        <f aca="false">IF(NOT(Tasks[[#This Row],[_IsLeaf]]=1),"",IF(Tasks[[#This Row],[_AlapShift]]=0,Tasks[[#This Row],[_LeafCalcFinish]],WORKDAY.INTL(Tasks[[#This Row],[_LeafCalcFinish]],Tasks[[#This Row],[_AlapShift]],WorkWeek,Holidays)))</f>
        <v/>
      </c>
      <c r="DH173" s="101" t="str">
        <f aca="false">IF(NOT(Tasks[[#This Row],[_IsLeaf]]=1),"",IF(Tasks[[#This Row],[_AlapShift]]=0,Tasks[[#This Row],[_LeafFcstStart]],WORKDAY.INTL(Tasks[[#This Row],[_LeafFcstStart]],Tasks[[#This Row],[_AlapShift]],WorkWeek,Holidays)))</f>
        <v/>
      </c>
      <c r="DI173" s="101" t="str">
        <f aca="false">IF(NOT(Tasks[[#This Row],[_IsLeaf]]=1),"",IF(Tasks[[#This Row],[_AlapShift]]=0,Tasks[[#This Row],[_LeafFcstFinish]],WORKDAY.INTL(Tasks[[#This Row],[_LeafFcstFinish]],Tasks[[#This Row],[_AlapShift]],WorkWeek,Holidays)))</f>
        <v/>
      </c>
      <c r="DJ173" s="101" t="str">
        <f aca="false">IF(Tasks[[#This Row],[Task Name]]="","",IF(Tasks[[#This Row],[_IsSummary]],MIN(INDEX(Tasks[_ShownCalcStart],Tasks[[#This Row],[_Row]]+1):INDEX(Tasks[_ShownCalcStart],Tasks[[#This Row],[_Row]]+Tasks[[#This Row],[_Descendants]])),Tasks[[#This Row],[_ShownCalcStart]]))</f>
        <v/>
      </c>
      <c r="DK173" s="101" t="str">
        <f aca="false">IF(Tasks[[#This Row],[Task Name]]="","",IF(Tasks[[#This Row],[_IsSummary]],MAX(INDEX(Tasks[_ShownCalcFinish],Tasks[[#This Row],[_Row]]+1):INDEX(Tasks[_ShownCalcFinish],Tasks[[#This Row],[_Row]]+Tasks[[#This Row],[_Descendants]])),Tasks[[#This Row],[_ShownCalcFinish]]))</f>
        <v/>
      </c>
      <c r="D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3" s="41" t="n">
        <f aca="false">IF(AND(Tasks[[#This Row],[_IsLeaf]]=1,Tasks[[#This Row],[_LeafTotalWork]]&gt;0),NETWORKDAYS.INTL(ProjectStart,Tasks[[#This Row],[_ShownFcstStart]],WorkWeek,Holidays),0)</f>
        <v>0</v>
      </c>
      <c r="DY173" s="41" t="n">
        <f aca="false">IF(AND(Tasks[[#This Row],[_IsLeaf]]=1,Tasks[[#This Row],[_LeafTotalWork]]&gt;0),MAX(Tasks[[#This Row],[_StartWorkday]],NETWORKDAYS.INTL(ProjectStart,Tasks[[#This Row],[_ShownFcstFinish]],WorkWeek,Holidays)),0)</f>
        <v>0</v>
      </c>
      <c r="DZ173" s="41" t="n">
        <f aca="false">IF(AND(Tasks[[#This Row],[_IsLeaf]]=1,Tasks[[#This Row],[_LeafTotalWork]]&gt;0),Tasks[[#This Row],[_LeafWork]]/(Tasks[[#This Row],[_FinishWorkday]]-Tasks[[#This Row],[_StartWorkday]]+1),0)</f>
        <v>0</v>
      </c>
      <c r="EA173" s="41" t="n">
        <f aca="false">Tasks[[#This Row],[_WorkPerWorkday]]*(Tasks[[#This Row],[_StartWorkday]]-1)</f>
        <v>-0</v>
      </c>
      <c r="EB173" s="41" t="n">
        <f aca="false">IF(Tasks[[#This Row],[_IsLeaf]]=1,MAX(N(Tasks[[#This Row],[Duration]]),0.1),0)</f>
        <v>0</v>
      </c>
      <c r="EC173" s="41" t="n">
        <f aca="false">Tasks[[#This Row],[_WeightDur]]*Tasks[[#This Row],[_LeafProgress]]</f>
        <v>0</v>
      </c>
      <c r="ED1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3" s="41" t="str">
        <f aca="false">IF(AND(Tasks[[#This Row],[_IsLeaf]]=1,N(Tasks[[#This Row],[Duration]])=0,Tasks[[#This Row],[_LeafProgress]]&lt;1),Tasks[[#This Row],[_ShownFcstFinish]]+Tasks[[#This Row],[_Row]]/100000,"")</f>
        <v/>
      </c>
      <c r="EF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3" s="41" t="n">
        <f aca="false">IF(NOT(Tasks[[#This Row],[_IsLeaf]]=1),0,IF(Tasks[[#This Row],[Baseline Cost]]="",Tasks[[#This Row],[_LeafTotalCost]],N(Tasks[[#This Row],[Baseline Cost]])))</f>
        <v>0</v>
      </c>
      <c r="EH173" s="41" t="n">
        <f aca="false">Tasks[[#This Row],[_LeafBudget]]*Tasks[[#This Row],[_PlannedPct]]</f>
        <v>0</v>
      </c>
      <c r="EI173" s="41" t="n">
        <f aca="false">Tasks[[#This Row],[_LeafBudget]]*Tasks[[#This Row],[_LeafProgress]]</f>
        <v>0</v>
      </c>
      <c r="EJ173" s="41" t="n">
        <f aca="false">IF(NOT(Tasks[[#This Row],[_IsLeaf]]=1),0,IF(Tasks[[#This Row],[Actual Cost]]="",Tasks[[#This Row],[_LeafTotalCost]]*Tasks[[#This Row],[_LeafProgress]],N(Tasks[[#This Row],[Actual Cost]])))</f>
        <v>0</v>
      </c>
      <c r="EK173" s="41" t="str">
        <f aca="false">IF(Tasks[[#This Row],[Task Name]]="","",LEFT(Tasks[[#This Row],[WBS]],FIND(".",Tasks[[#This Row],[WBS]]&amp;".")-1))</f>
        <v/>
      </c>
      <c r="EL173" s="41" t="str">
        <f aca="false">IF(AND(Tasks[[#This Row],[Task Name]]&lt;&gt;"",Tasks[[#This Row],[_Level]]=1),Tasks[[#This Row],[_Row]],"")</f>
        <v/>
      </c>
      <c r="EM173" s="41" t="str">
        <f aca="false">IF(AND(Tasks[[#This Row],[_IsLeaf]]=1,N(Tasks[[#This Row],[Duration]])=0),Tasks[[#This Row],[Planned Finish]]+Tasks[[#This Row],[_Row]]/100000,"")</f>
        <v/>
      </c>
      <c r="EN173" s="41" t="str">
        <f aca="false">IF(AND(Tasks[[#This Row],[_IsLeaf]]=1,Tasks[[#This Row],[_LeafProgress]]&lt;1,OR(N(Tasks[[#This Row],[Finish Var]])&gt;0,Tasks[[#This Row],[Status]]="Late Start")),MAX(0,Tasks[[#This Row],[Finish Var]])+1-Tasks[[#This Row],[_Row]]/1000000,"")</f>
        <v/>
      </c>
      <c r="EO173" s="41" t="str">
        <f aca="false">IF(AND(Tasks[[#This Row],[_IsLeaf]]=1,N(Tasks[[#This Row],[Actual Start]])=0,Tasks[[#This Row],[_ShownFcstStart]]&gt;=StatusDate,Tasks[[#This Row],[_ShownFcstStart]]&lt;=LookaheadEnd),Tasks[[#This Row],[_ShownFcstStart]]+Tasks[[#This Row],[_Row]]/100000,"")</f>
        <v/>
      </c>
      <c r="EP173" s="41" t="str">
        <f aca="false">IF(AND(Tasks[[#This Row],[_IsLeaf]]=1,Tasks[[#This Row],[_LeafProgress]]&lt;1,Tasks[[#This Row],[_ShownFcstFinish]]&gt;=StatusDate,Tasks[[#This Row],[_ShownFcstFinish]]&lt;=LookaheadEnd),Tasks[[#This Row],[_ShownFcstFinish]]+Tasks[[#This Row],[_Row]]/100000,"")</f>
        <v/>
      </c>
      <c r="EQ173" s="41" t="str">
        <f aca="false">IF(Tasks[[#This Row],[_LeafCritical]],Tasks[[#This Row],[_ShownFcstStart]]+Tasks[[#This Row],[_Row]]/100000,"")</f>
        <v/>
      </c>
      <c r="ER173" s="41" t="n">
        <f aca="false">Tasks[[#This Row],[_LeafWork]]*Tasks[[#This Row],[_LeafProgress]]</f>
        <v>0</v>
      </c>
      <c r="ES173" s="101" t="str">
        <f aca="false">IF(AND(Tasks[[#This Row],[_IsLeaf]]=1,Tasks[[#This Row],[_LeafProgress]]&gt;=1),IF(N(Tasks[[#This Row],[Actual Finish]])&gt;0,Tasks[[#This Row],[Actual Finish]],Tasks[[#This Row],[_ShownFcstFinish]]),"")</f>
        <v/>
      </c>
      <c r="ET173" s="41" t="n">
        <f aca="false">IF(Tasks[[#This Row],[_IsLeaf]]=1,N(Tasks[[#This Row],[Story Points]]),0)</f>
        <v>0</v>
      </c>
      <c r="EU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29"/>
      <c r="O174" s="29"/>
      <c r="P174" s="29"/>
      <c r="Q174" s="29"/>
      <c r="R174" s="29"/>
      <c r="S174" s="29"/>
      <c r="T174" s="30"/>
      <c r="U174" s="75"/>
      <c r="V174" s="75"/>
      <c r="W174" s="25" t="str">
        <f aca="false">IF(Tasks[[#This Row],[Task Name]]="","",IF(N(Tasks[[#This Row],[Baseline Start]])&gt;0,Tasks[[#This Row],[Baseline Start]],Tasks[[#This Row],[_CalcStart]]))</f>
        <v/>
      </c>
      <c r="X174" s="25" t="str">
        <f aca="false">IF(Tasks[[#This Row],[Task Name]]="","",IF(N(Tasks[[#This Row],[Baseline Finish]])&gt;0,Tasks[[#This Row],[Baseline Finish]],Tasks[[#This Row],[_CalcFinish]]))</f>
        <v/>
      </c>
      <c r="Y174" s="75"/>
      <c r="Z174" s="75"/>
      <c r="AA174" s="25" t="str">
        <f aca="false">IF(Tasks[[#This Row],[Task Name]]="","",IF(Tasks[[#This Row],[_IsSummary]],MIN(INDEX(Tasks[_ShownFcstStart],Tasks[[#This Row],[_Row]]+1):INDEX(Tasks[_ShownFcstStart],Tasks[[#This Row],[_Row]]+Tasks[[#This Row],[_Descendants]])),Tasks[[#This Row],[_ShownFcstStart]]))</f>
        <v/>
      </c>
      <c r="AB174" s="25" t="str">
        <f aca="false">IF(Tasks[[#This Row],[Task Name]]="","",IF(Tasks[[#This Row],[_IsSummary]],MAX(INDEX(Tasks[_ShownFcstFinish],Tasks[[#This Row],[_Row]]+1):INDEX(Tasks[_ShownFcstFinish],Tasks[[#This Row],[_Row]]+Tasks[[#This Row],[_Descendants]])),Tasks[[#This Row],[_ShownFcstFinish]]))</f>
        <v/>
      </c>
      <c r="AC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4" s="25" t="str">
        <f aca="false">IF(Tasks[[#This Row],[Task Name]]="","",IF(Tasks[[#This Row],[_IsSummary]],MIN(INDEX(Tasks[_LeafLateStart],Tasks[[#This Row],[_Row]]+1):INDEX(Tasks[_LeafLateStart],Tasks[[#This Row],[_Row]]+Tasks[[#This Row],[_Descendants]])),Tasks[[#This Row],[_LeafLateStart]]))</f>
        <v/>
      </c>
      <c r="AF174" s="25" t="str">
        <f aca="false">IF(Tasks[[#This Row],[Task Name]]="","",IF(Tasks[[#This Row],[_IsSummary]],MAX(INDEX(Tasks[_LeafLateFinish],Tasks[[#This Row],[_Row]]+1):INDEX(Tasks[_LeafLateFinish],Tasks[[#This Row],[_Row]]+Tasks[[#This Row],[_Descendants]])),Tasks[[#This Row],[_LeafLateFinish]]))</f>
        <v/>
      </c>
      <c r="AG174" s="28" t="str">
        <f aca="false">IF(Tasks[[#This Row],[Task Name]]="","",IF(Tasks[[#This Row],[_IsSummary]],MIN(INDEX(Tasks[_LeafTotalSlack],Tasks[[#This Row],[_Row]]+1):INDEX(Tasks[_LeafTotalSlack],Tasks[[#This Row],[_Row]]+Tasks[[#This Row],[_Descendants]])),Tasks[[#This Row],[_LeafTotalSlack]]))</f>
        <v/>
      </c>
      <c r="AH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4" s="28" t="str">
        <f aca="false">IF(Tasks[[#This Row],[Task Name]]="","",IF(IF(Tasks[[#This Row],[_IsSummary]],COUNTIF(INDEX(Tasks[_LeafCritical],Tasks[[#This Row],[_Row]]+1):INDEX(Tasks[_LeafCritical],Tasks[[#This Row],[_Row]]+Tasks[[#This Row],[_Descendants]]),TRUE())&gt;0,Tasks[[#This Row],[_LeafCritical]]),"Yes",""))</f>
        <v/>
      </c>
      <c r="AJ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4" s="89"/>
      <c r="AM1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4" s="28" t="str">
        <f aca="false">IF(Tasks[[#This Row],[Task Name]]="","",IF(Tasks[[#This Row],[Progress]]&gt;=1,"Complete",IF(OR(N(Tasks[[#This Row],[Actual Start]])&gt;0,Tasks[[#This Row],[Progress]]&gt;0),IF(Tasks[[#This Row],[Finish Var]]&gt;0,"Behind","In Progress"),IF(Tasks[[#This Row],[Planned Start]]&lt;StatusDate,"Late Start","Not Started"))))</f>
        <v/>
      </c>
      <c r="AO174" s="30"/>
      <c r="AP174" s="89"/>
      <c r="AQ1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4" s="96" t="str">
        <f aca="false">IF(Tasks[[#This Row],[Task Name]]="","",IF(Tasks[[#This Row],[_IsSummary]],SUM(INDEX(Tasks[_LeafTotalWork],Tasks[[#This Row],[_Row]]+1):INDEX(Tasks[_LeafTotalWork],Tasks[[#This Row],[_Row]]+Tasks[[#This Row],[_Descendants]])),Tasks[[#This Row],[_LeafTotalWork]]))</f>
        <v/>
      </c>
      <c r="AT174" s="97" t="str">
        <f aca="false">IF(Tasks[[#This Row],[Task Name]]="","",IF(Tasks[[#This Row],[_IsSummary]],SUM(INDEX(Tasks[_LeafTotalCost],Tasks[[#This Row],[_Row]]+1):INDEX(Tasks[_LeafTotalCost],Tasks[[#This Row],[_Row]]+Tasks[[#This Row],[_Descendants]])),Tasks[[#This Row],[_LeafTotalCost]]))</f>
        <v/>
      </c>
      <c r="AU174" s="98"/>
      <c r="AV174" s="29"/>
      <c r="AW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4" s="83"/>
      <c r="AY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4" s="30"/>
      <c r="BA174" s="25" t="str">
        <f aca="false">IF(Tasks[[#This Row],[Task Name]]="","",Tasks[[#This Row],[Forecast Start]])</f>
        <v/>
      </c>
      <c r="BB174" s="25" t="str">
        <f aca="false">IF(Tasks[[#This Row],[Task Name]]="","",Tasks[[#This Row],[Forecast Finish]])</f>
        <v/>
      </c>
      <c r="BC174" s="28" t="str">
        <f aca="false">IF(Tasks[[#This Row],[Task Name]]="","",IF(Tasks[[#This Row],[_IsSummary]],NETWORKDAYS.INTL(Tasks[[#This Row],[Forecast Start]],Tasks[[#This Row],[Forecast Finish]],WorkWeek,Holidays),N(Tasks[[#This Row],[Duration]])))</f>
        <v/>
      </c>
      <c r="BD174" s="96" t="str">
        <f aca="false">IF(Tasks[[#This Row],[Task Name]]="","",Tasks[[#This Row],[Work]])</f>
        <v/>
      </c>
      <c r="BE174" s="97" t="str">
        <f aca="false">IF(Tasks[[#This Row],[Task Name]]="","",Tasks[[#This Row],[Cost]])</f>
        <v/>
      </c>
      <c r="BF174" s="75"/>
      <c r="BG174" s="75"/>
      <c r="BH174" s="29"/>
      <c r="BI174" s="99"/>
      <c r="BJ174" s="98"/>
      <c r="BK174" s="28" t="str">
        <f aca="false">IF(OR(Tasks[[#This Row],[Task Name]]="",Tasks[[#This Row],[Baseline Duration]]=""),"",Tasks[[#This Row],[BL Source Duration]]-N(Tasks[[#This Row],[Baseline Duration]]))</f>
        <v/>
      </c>
      <c r="BL174" s="96" t="str">
        <f aca="false">IF(OR(Tasks[[#This Row],[Task Name]]="",Tasks[[#This Row],[Baseline Work]]=""),"",Tasks[[#This Row],[Work]]-N(Tasks[[#This Row],[Baseline Work]]))</f>
        <v/>
      </c>
      <c r="BM174" s="97" t="str">
        <f aca="false">IF(OR(Tasks[[#This Row],[Task Name]]="",Tasks[[#This Row],[Baseline Cost]]=""),"",Tasks[[#This Row],[Cost]]-N(Tasks[[#This Row],[Baseline Cost]]))</f>
        <v/>
      </c>
      <c r="BN174" s="97" t="str">
        <f aca="false">IF(Tasks[[#This Row],[Task Name]]="","",IF(Tasks[[#This Row],[_IsSummary]],SUM(INDEX(Tasks[_LeafBudget],Tasks[[#This Row],[_Row]]+1):INDEX(Tasks[_LeafBudget],Tasks[[#This Row],[_Row]]+Tasks[[#This Row],[_Descendants]])),Tasks[[#This Row],[_LeafBudget]]))</f>
        <v/>
      </c>
      <c r="BO174" s="97" t="str">
        <f aca="false">IF(Tasks[[#This Row],[Task Name]]="","",IF(Tasks[[#This Row],[_IsSummary]],SUM(INDEX(Tasks[_LeafPV],Tasks[[#This Row],[_Row]]+1):INDEX(Tasks[_LeafPV],Tasks[[#This Row],[_Row]]+Tasks[[#This Row],[_Descendants]])),Tasks[[#This Row],[_LeafPV]]))</f>
        <v/>
      </c>
      <c r="BP174" s="97" t="str">
        <f aca="false">IF(Tasks[[#This Row],[Task Name]]="","",IF(Tasks[[#This Row],[_IsSummary]],SUM(INDEX(Tasks[_LeafEV],Tasks[[#This Row],[_Row]]+1):INDEX(Tasks[_LeafEV],Tasks[[#This Row],[_Row]]+Tasks[[#This Row],[_Descendants]])),Tasks[[#This Row],[_LeafEV]]))</f>
        <v/>
      </c>
      <c r="BQ174" s="97" t="str">
        <f aca="false">IF(Tasks[[#This Row],[Task Name]]="","",IF(Tasks[[#This Row],[_IsSummary]],SUM(INDEX(Tasks[_LeafAC],Tasks[[#This Row],[_Row]]+1):INDEX(Tasks[_LeafAC],Tasks[[#This Row],[_Row]]+Tasks[[#This Row],[_Descendants]])),Tasks[[#This Row],[_LeafAC]]))</f>
        <v/>
      </c>
      <c r="BR174" s="41" t="str">
        <f aca="false">IF(Tasks[[#This Row],[Task Name]]="","",MAX(1,N(Tasks[[#This Row],[Level]])))</f>
        <v/>
      </c>
      <c r="BS174" s="41" t="n">
        <f aca="false">ROW()-ROW(Tasks[[#Headers],[ID]])</f>
        <v>169</v>
      </c>
      <c r="BT174" s="41" t="n">
        <f aca="false">IF(OR(Tasks[[#This Row],[Task Name]]="",Tasks[[#This Row],[_Level]]&lt;=1),0,IFERROR(LOOKUP(2,1/(Tasks[[#Headers],[_Level]]:Tasks[[#This Row],[_Level]]=Tasks[[#This Row],[_Level]]-1),ROW(Tasks[[#Headers],[_Level]]:Tasks[[#This Row],[_Level]])),0))</f>
        <v>0</v>
      </c>
      <c r="BU174" s="41" t="n">
        <f aca="false">IFERROR(N(INDEX(Tasks[_Level],Tasks[[#This Row],[_Row]]+1)),0)</f>
        <v>0</v>
      </c>
      <c r="BV174" s="100" t="b">
        <f aca="false">AND(Tasks[[#This Row],[Task Name]]&lt;&gt;"",Tasks[[#This Row],[_NextLevel]]&gt;Tasks[[#This Row],[_Level]])</f>
        <v>0</v>
      </c>
      <c r="BW174" s="41" t="n">
        <f aca="false">IF(Tasks[[#This Row],[_IsSummary]],COUNTIF(Tasks[WBS],Tasks[[#This Row],[WBS]]&amp;".*"),0)</f>
        <v>0</v>
      </c>
      <c r="BX174" s="41" t="n">
        <f aca="false">IF(AND(Tasks[[#This Row],[Task Name]]&lt;&gt;"",NOT(Tasks[[#This Row],[_IsSummary]])),1,0)</f>
        <v>0</v>
      </c>
      <c r="BY174" s="41" t="n">
        <f aca="false">IF(N(Tasks[[#This Row],[Pred1 UID]])=0,0,IFERROR(MATCH(Tasks[[#This Row],[Pred1 UID]],Tasks[UID],0),-1))</f>
        <v>0</v>
      </c>
      <c r="BZ174" s="41" t="n">
        <f aca="false">IF(N(Tasks[[#This Row],[Pred2 UID]])=0,0,IFERROR(MATCH(Tasks[[#This Row],[Pred2 UID]],Tasks[UID],0),-1))</f>
        <v>0</v>
      </c>
      <c r="CA174" s="41" t="n">
        <f aca="false">IF(N(Tasks[[#This Row],[Pred3 UID]])=0,0,IFERROR(MATCH(Tasks[[#This Row],[Pred3 UID]],Tasks[UID],0),-1))</f>
        <v>0</v>
      </c>
      <c r="CB174" s="41" t="n">
        <f aca="false">IF(N(Tasks[[#This Row],[Pred4 UID]])=0,0,IFERROR(MATCH(Tasks[[#This Row],[Pred4 UID]],Tasks[UID],0),-1))</f>
        <v>0</v>
      </c>
      <c r="CC1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4" s="101" t="n">
        <f aca="false">IF(OR(Tasks[[#This Row],[_ConstraintCode]]=2,Tasks[[#This Row],[_ConstraintCode]]=3,Tasks[[#This Row],[_ConstraintCode]]=4,Tasks[[#This Row],[_ConstraintCode]]=6),Tasks[[#This Row],[_ConstraintStart]],0)</f>
        <v>0</v>
      </c>
      <c r="CF174" s="101" t="n">
        <f aca="false">IF(OR(Tasks[[#This Row],[_ConstraintCode]]=2,Tasks[[#This Row],[_ConstraintCode]]=3,Tasks[[#This Row],[_ConstraintCode]]=5,Tasks[[#This Row],[_ConstraintCode]]=7),Tasks[[#This Row],[_ConstraintStart]],2958465)</f>
        <v>2958465</v>
      </c>
      <c r="CG17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4" s="101" t="str">
        <f aca="false">IF(NOT(Tasks[[#This Row],[_IsLeaf]]=1),"",IF(N(Tasks[[#This Row],[Duration]])&lt;=0,Tasks[[#This Row],[_LeafCalcStart]],WORKDAY.INTL(Tasks[[#This Row],[_LeafCalcStart]],Tasks[[#This Row],[Duration]]-1,WorkWeek,Holidays)))</f>
        <v/>
      </c>
      <c r="CI17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4" s="41" t="n">
        <f aca="false">IF(NOT(Tasks[[#This Row],[_IsLeaf]]=1),0,IF(N(Tasks[[#This Row],[Actual Finish]])&gt;0,1,MIN(1,N(Tasks[[#This Row],[% Complete]]))))</f>
        <v>0</v>
      </c>
      <c r="CL174" s="41" t="n">
        <f aca="false">IF(OR(NOT(Tasks[[#This Row],[_IsLeaf]]=1),Tasks[[#This Row],[Resource]]=""),0,N(Tasks[[#This Row],[Duration]])*HoursPerDay*IF(Tasks[[#This Row],[Units]]="",DefaultUnits,Tasks[[#This Row],[Units]]))</f>
        <v>0</v>
      </c>
      <c r="CM174" s="41" t="n">
        <f aca="false">IF(Tasks[[#This Row],[_LeafWork]]=0,0,Tasks[[#This Row],[_LeafWork]]*IFERROR(INDEX(res_Rate,MATCH(Tasks[[#This Row],[Resource]],res_Name,0)),0))</f>
        <v>0</v>
      </c>
      <c r="CN174" s="41" t="n">
        <f aca="false">Tasks[[#This Row],[_LeafWork]]+IF(Tasks[[#This Row],[_IsLeaf]]=1,SUMIFS(asg_Work,asg_TaskUID,Tasks[[#This Row],[UID]],asg_Valid,1),0)</f>
        <v>0</v>
      </c>
      <c r="CO174" s="41" t="n">
        <f aca="false">Tasks[[#This Row],[_LeafCost]]+IF(Tasks[[#This Row],[_IsLeaf]]=1,SUMIFS(asg_Cost,asg_TaskUID,Tasks[[#This Row],[UID]],asg_Valid,1),0)</f>
        <v>0</v>
      </c>
      <c r="CP174" s="41" t="n">
        <f aca="false">IF(Tasks[[#This Row],[_LeafTotalCost]]=0,Tasks[[#This Row],[_LeafAC]],Tasks[[#This Row],[_LeafAC]]*Tasks[[#This Row],[_LeafCost]]/Tasks[[#This Row],[_LeafTotalCost]])</f>
        <v>0</v>
      </c>
      <c r="CQ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4" s="41" t="n">
        <f aca="false">IF(NOT(Tasks[[#This Row],[_IsLeaf]]=1),0,MAX(_xlfn.MAXIFS(Tasks[_Row],Tasks[Pred1 UID],Tasks[[#This Row],[UID]]),_xlfn.MAXIFS(Tasks[_Row],Tasks[Pred2 UID],Tasks[[#This Row],[UID]]),_xlfn.MAXIFS(Tasks[_Row],Tasks[Pred3 UID],Tasks[[#This Row],[UID]]),_xlfn.MAXIFS(Tasks[_Row],Tasks[Pred4 UID],Tasks[[#This Row],[UID]])))</f>
        <v>0</v>
      </c>
      <c r="CZ1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4" s="101" t="str">
        <f aca="false">IF(NOT(Tasks[[#This Row],[_IsLeaf]]=1),"",IF(N(Tasks[[#This Row],[Duration]])&lt;=0,Tasks[[#This Row],[_LeafLateFinish]],WORKDAY.INTL(Tasks[[#This Row],[_LeafLateFinish]],-(Tasks[[#This Row],[Duration]]-1),WorkWeek,Holidays)))</f>
        <v/>
      </c>
      <c r="DC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4" s="100" t="b">
        <f aca="false">AND(Tasks[[#This Row],[_IsLeaf]]=1,Tasks[[#This Row],[_LeafProgress]]&lt;1,N(Tasks[[#This Row],[_LeafTotalSlack]])&lt;=CriticalSlackDays)</f>
        <v>0</v>
      </c>
      <c r="DE174" s="41" t="n">
        <f aca="false">IF(AND(Tasks[[#This Row],[_IsLeaf]]=1,Tasks[[#This Row],[_ConstraintCode]]=1,Tasks[[#This Row],[Mode]]&lt;&gt;"Manual",N(Tasks[[#This Row],[Actual Start]])=0),MAX(0,N(Tasks[[#This Row],[Free Slack]])),0)</f>
        <v>0</v>
      </c>
      <c r="DF174" s="101" t="str">
        <f aca="false">IF(NOT(Tasks[[#This Row],[_IsLeaf]]=1),"",IF(Tasks[[#This Row],[_AlapShift]]=0,Tasks[[#This Row],[_LeafCalcStart]],WORKDAY.INTL(Tasks[[#This Row],[_LeafCalcStart]],Tasks[[#This Row],[_AlapShift]],WorkWeek,Holidays)))</f>
        <v/>
      </c>
      <c r="DG174" s="101" t="str">
        <f aca="false">IF(NOT(Tasks[[#This Row],[_IsLeaf]]=1),"",IF(Tasks[[#This Row],[_AlapShift]]=0,Tasks[[#This Row],[_LeafCalcFinish]],WORKDAY.INTL(Tasks[[#This Row],[_LeafCalcFinish]],Tasks[[#This Row],[_AlapShift]],WorkWeek,Holidays)))</f>
        <v/>
      </c>
      <c r="DH174" s="101" t="str">
        <f aca="false">IF(NOT(Tasks[[#This Row],[_IsLeaf]]=1),"",IF(Tasks[[#This Row],[_AlapShift]]=0,Tasks[[#This Row],[_LeafFcstStart]],WORKDAY.INTL(Tasks[[#This Row],[_LeafFcstStart]],Tasks[[#This Row],[_AlapShift]],WorkWeek,Holidays)))</f>
        <v/>
      </c>
      <c r="DI174" s="101" t="str">
        <f aca="false">IF(NOT(Tasks[[#This Row],[_IsLeaf]]=1),"",IF(Tasks[[#This Row],[_AlapShift]]=0,Tasks[[#This Row],[_LeafFcstFinish]],WORKDAY.INTL(Tasks[[#This Row],[_LeafFcstFinish]],Tasks[[#This Row],[_AlapShift]],WorkWeek,Holidays)))</f>
        <v/>
      </c>
      <c r="DJ174" s="101" t="str">
        <f aca="false">IF(Tasks[[#This Row],[Task Name]]="","",IF(Tasks[[#This Row],[_IsSummary]],MIN(INDEX(Tasks[_ShownCalcStart],Tasks[[#This Row],[_Row]]+1):INDEX(Tasks[_ShownCalcStart],Tasks[[#This Row],[_Row]]+Tasks[[#This Row],[_Descendants]])),Tasks[[#This Row],[_ShownCalcStart]]))</f>
        <v/>
      </c>
      <c r="DK174" s="101" t="str">
        <f aca="false">IF(Tasks[[#This Row],[Task Name]]="","",IF(Tasks[[#This Row],[_IsSummary]],MAX(INDEX(Tasks[_ShownCalcFinish],Tasks[[#This Row],[_Row]]+1):INDEX(Tasks[_ShownCalcFinish],Tasks[[#This Row],[_Row]]+Tasks[[#This Row],[_Descendants]])),Tasks[[#This Row],[_ShownCalcFinish]]))</f>
        <v/>
      </c>
      <c r="D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4" s="41" t="n">
        <f aca="false">IF(AND(Tasks[[#This Row],[_IsLeaf]]=1,Tasks[[#This Row],[_LeafTotalWork]]&gt;0),NETWORKDAYS.INTL(ProjectStart,Tasks[[#This Row],[_ShownFcstStart]],WorkWeek,Holidays),0)</f>
        <v>0</v>
      </c>
      <c r="DY174" s="41" t="n">
        <f aca="false">IF(AND(Tasks[[#This Row],[_IsLeaf]]=1,Tasks[[#This Row],[_LeafTotalWork]]&gt;0),MAX(Tasks[[#This Row],[_StartWorkday]],NETWORKDAYS.INTL(ProjectStart,Tasks[[#This Row],[_ShownFcstFinish]],WorkWeek,Holidays)),0)</f>
        <v>0</v>
      </c>
      <c r="DZ174" s="41" t="n">
        <f aca="false">IF(AND(Tasks[[#This Row],[_IsLeaf]]=1,Tasks[[#This Row],[_LeafTotalWork]]&gt;0),Tasks[[#This Row],[_LeafWork]]/(Tasks[[#This Row],[_FinishWorkday]]-Tasks[[#This Row],[_StartWorkday]]+1),0)</f>
        <v>0</v>
      </c>
      <c r="EA174" s="41" t="n">
        <f aca="false">Tasks[[#This Row],[_WorkPerWorkday]]*(Tasks[[#This Row],[_StartWorkday]]-1)</f>
        <v>-0</v>
      </c>
      <c r="EB174" s="41" t="n">
        <f aca="false">IF(Tasks[[#This Row],[_IsLeaf]]=1,MAX(N(Tasks[[#This Row],[Duration]]),0.1),0)</f>
        <v>0</v>
      </c>
      <c r="EC174" s="41" t="n">
        <f aca="false">Tasks[[#This Row],[_WeightDur]]*Tasks[[#This Row],[_LeafProgress]]</f>
        <v>0</v>
      </c>
      <c r="ED1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4" s="41" t="str">
        <f aca="false">IF(AND(Tasks[[#This Row],[_IsLeaf]]=1,N(Tasks[[#This Row],[Duration]])=0,Tasks[[#This Row],[_LeafProgress]]&lt;1),Tasks[[#This Row],[_ShownFcstFinish]]+Tasks[[#This Row],[_Row]]/100000,"")</f>
        <v/>
      </c>
      <c r="EF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4" s="41" t="n">
        <f aca="false">IF(NOT(Tasks[[#This Row],[_IsLeaf]]=1),0,IF(Tasks[[#This Row],[Baseline Cost]]="",Tasks[[#This Row],[_LeafTotalCost]],N(Tasks[[#This Row],[Baseline Cost]])))</f>
        <v>0</v>
      </c>
      <c r="EH174" s="41" t="n">
        <f aca="false">Tasks[[#This Row],[_LeafBudget]]*Tasks[[#This Row],[_PlannedPct]]</f>
        <v>0</v>
      </c>
      <c r="EI174" s="41" t="n">
        <f aca="false">Tasks[[#This Row],[_LeafBudget]]*Tasks[[#This Row],[_LeafProgress]]</f>
        <v>0</v>
      </c>
      <c r="EJ174" s="41" t="n">
        <f aca="false">IF(NOT(Tasks[[#This Row],[_IsLeaf]]=1),0,IF(Tasks[[#This Row],[Actual Cost]]="",Tasks[[#This Row],[_LeafTotalCost]]*Tasks[[#This Row],[_LeafProgress]],N(Tasks[[#This Row],[Actual Cost]])))</f>
        <v>0</v>
      </c>
      <c r="EK174" s="41" t="str">
        <f aca="false">IF(Tasks[[#This Row],[Task Name]]="","",LEFT(Tasks[[#This Row],[WBS]],FIND(".",Tasks[[#This Row],[WBS]]&amp;".")-1))</f>
        <v/>
      </c>
      <c r="EL174" s="41" t="str">
        <f aca="false">IF(AND(Tasks[[#This Row],[Task Name]]&lt;&gt;"",Tasks[[#This Row],[_Level]]=1),Tasks[[#This Row],[_Row]],"")</f>
        <v/>
      </c>
      <c r="EM174" s="41" t="str">
        <f aca="false">IF(AND(Tasks[[#This Row],[_IsLeaf]]=1,N(Tasks[[#This Row],[Duration]])=0),Tasks[[#This Row],[Planned Finish]]+Tasks[[#This Row],[_Row]]/100000,"")</f>
        <v/>
      </c>
      <c r="EN174" s="41" t="str">
        <f aca="false">IF(AND(Tasks[[#This Row],[_IsLeaf]]=1,Tasks[[#This Row],[_LeafProgress]]&lt;1,OR(N(Tasks[[#This Row],[Finish Var]])&gt;0,Tasks[[#This Row],[Status]]="Late Start")),MAX(0,Tasks[[#This Row],[Finish Var]])+1-Tasks[[#This Row],[_Row]]/1000000,"")</f>
        <v/>
      </c>
      <c r="EO174" s="41" t="str">
        <f aca="false">IF(AND(Tasks[[#This Row],[_IsLeaf]]=1,N(Tasks[[#This Row],[Actual Start]])=0,Tasks[[#This Row],[_ShownFcstStart]]&gt;=StatusDate,Tasks[[#This Row],[_ShownFcstStart]]&lt;=LookaheadEnd),Tasks[[#This Row],[_ShownFcstStart]]+Tasks[[#This Row],[_Row]]/100000,"")</f>
        <v/>
      </c>
      <c r="EP174" s="41" t="str">
        <f aca="false">IF(AND(Tasks[[#This Row],[_IsLeaf]]=1,Tasks[[#This Row],[_LeafProgress]]&lt;1,Tasks[[#This Row],[_ShownFcstFinish]]&gt;=StatusDate,Tasks[[#This Row],[_ShownFcstFinish]]&lt;=LookaheadEnd),Tasks[[#This Row],[_ShownFcstFinish]]+Tasks[[#This Row],[_Row]]/100000,"")</f>
        <v/>
      </c>
      <c r="EQ174" s="41" t="str">
        <f aca="false">IF(Tasks[[#This Row],[_LeafCritical]],Tasks[[#This Row],[_ShownFcstStart]]+Tasks[[#This Row],[_Row]]/100000,"")</f>
        <v/>
      </c>
      <c r="ER174" s="41" t="n">
        <f aca="false">Tasks[[#This Row],[_LeafWork]]*Tasks[[#This Row],[_LeafProgress]]</f>
        <v>0</v>
      </c>
      <c r="ES174" s="101" t="str">
        <f aca="false">IF(AND(Tasks[[#This Row],[_IsLeaf]]=1,Tasks[[#This Row],[_LeafProgress]]&gt;=1),IF(N(Tasks[[#This Row],[Actual Finish]])&gt;0,Tasks[[#This Row],[Actual Finish]],Tasks[[#This Row],[_ShownFcstFinish]]),"")</f>
        <v/>
      </c>
      <c r="ET174" s="41" t="n">
        <f aca="false">IF(Tasks[[#This Row],[_IsLeaf]]=1,N(Tasks[[#This Row],[Story Points]]),0)</f>
        <v>0</v>
      </c>
      <c r="EU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29"/>
      <c r="O175" s="29"/>
      <c r="P175" s="29"/>
      <c r="Q175" s="29"/>
      <c r="R175" s="29"/>
      <c r="S175" s="29"/>
      <c r="T175" s="30"/>
      <c r="U175" s="75"/>
      <c r="V175" s="75"/>
      <c r="W175" s="25" t="str">
        <f aca="false">IF(Tasks[[#This Row],[Task Name]]="","",IF(N(Tasks[[#This Row],[Baseline Start]])&gt;0,Tasks[[#This Row],[Baseline Start]],Tasks[[#This Row],[_CalcStart]]))</f>
        <v/>
      </c>
      <c r="X175" s="25" t="str">
        <f aca="false">IF(Tasks[[#This Row],[Task Name]]="","",IF(N(Tasks[[#This Row],[Baseline Finish]])&gt;0,Tasks[[#This Row],[Baseline Finish]],Tasks[[#This Row],[_CalcFinish]]))</f>
        <v/>
      </c>
      <c r="Y175" s="75"/>
      <c r="Z175" s="75"/>
      <c r="AA175" s="25" t="str">
        <f aca="false">IF(Tasks[[#This Row],[Task Name]]="","",IF(Tasks[[#This Row],[_IsSummary]],MIN(INDEX(Tasks[_ShownFcstStart],Tasks[[#This Row],[_Row]]+1):INDEX(Tasks[_ShownFcstStart],Tasks[[#This Row],[_Row]]+Tasks[[#This Row],[_Descendants]])),Tasks[[#This Row],[_ShownFcstStart]]))</f>
        <v/>
      </c>
      <c r="AB175" s="25" t="str">
        <f aca="false">IF(Tasks[[#This Row],[Task Name]]="","",IF(Tasks[[#This Row],[_IsSummary]],MAX(INDEX(Tasks[_ShownFcstFinish],Tasks[[#This Row],[_Row]]+1):INDEX(Tasks[_ShownFcstFinish],Tasks[[#This Row],[_Row]]+Tasks[[#This Row],[_Descendants]])),Tasks[[#This Row],[_ShownFcstFinish]]))</f>
        <v/>
      </c>
      <c r="AC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5" s="25" t="str">
        <f aca="false">IF(Tasks[[#This Row],[Task Name]]="","",IF(Tasks[[#This Row],[_IsSummary]],MIN(INDEX(Tasks[_LeafLateStart],Tasks[[#This Row],[_Row]]+1):INDEX(Tasks[_LeafLateStart],Tasks[[#This Row],[_Row]]+Tasks[[#This Row],[_Descendants]])),Tasks[[#This Row],[_LeafLateStart]]))</f>
        <v/>
      </c>
      <c r="AF175" s="25" t="str">
        <f aca="false">IF(Tasks[[#This Row],[Task Name]]="","",IF(Tasks[[#This Row],[_IsSummary]],MAX(INDEX(Tasks[_LeafLateFinish],Tasks[[#This Row],[_Row]]+1):INDEX(Tasks[_LeafLateFinish],Tasks[[#This Row],[_Row]]+Tasks[[#This Row],[_Descendants]])),Tasks[[#This Row],[_LeafLateFinish]]))</f>
        <v/>
      </c>
      <c r="AG175" s="28" t="str">
        <f aca="false">IF(Tasks[[#This Row],[Task Name]]="","",IF(Tasks[[#This Row],[_IsSummary]],MIN(INDEX(Tasks[_LeafTotalSlack],Tasks[[#This Row],[_Row]]+1):INDEX(Tasks[_LeafTotalSlack],Tasks[[#This Row],[_Row]]+Tasks[[#This Row],[_Descendants]])),Tasks[[#This Row],[_LeafTotalSlack]]))</f>
        <v/>
      </c>
      <c r="AH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5" s="28" t="str">
        <f aca="false">IF(Tasks[[#This Row],[Task Name]]="","",IF(IF(Tasks[[#This Row],[_IsSummary]],COUNTIF(INDEX(Tasks[_LeafCritical],Tasks[[#This Row],[_Row]]+1):INDEX(Tasks[_LeafCritical],Tasks[[#This Row],[_Row]]+Tasks[[#This Row],[_Descendants]]),TRUE())&gt;0,Tasks[[#This Row],[_LeafCritical]]),"Yes",""))</f>
        <v/>
      </c>
      <c r="AJ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5" s="89"/>
      <c r="AM1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5" s="28" t="str">
        <f aca="false">IF(Tasks[[#This Row],[Task Name]]="","",IF(Tasks[[#This Row],[Progress]]&gt;=1,"Complete",IF(OR(N(Tasks[[#This Row],[Actual Start]])&gt;0,Tasks[[#This Row],[Progress]]&gt;0),IF(Tasks[[#This Row],[Finish Var]]&gt;0,"Behind","In Progress"),IF(Tasks[[#This Row],[Planned Start]]&lt;StatusDate,"Late Start","Not Started"))))</f>
        <v/>
      </c>
      <c r="AO175" s="30"/>
      <c r="AP175" s="89"/>
      <c r="AQ1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5" s="96" t="str">
        <f aca="false">IF(Tasks[[#This Row],[Task Name]]="","",IF(Tasks[[#This Row],[_IsSummary]],SUM(INDEX(Tasks[_LeafTotalWork],Tasks[[#This Row],[_Row]]+1):INDEX(Tasks[_LeafTotalWork],Tasks[[#This Row],[_Row]]+Tasks[[#This Row],[_Descendants]])),Tasks[[#This Row],[_LeafTotalWork]]))</f>
        <v/>
      </c>
      <c r="AT175" s="97" t="str">
        <f aca="false">IF(Tasks[[#This Row],[Task Name]]="","",IF(Tasks[[#This Row],[_IsSummary]],SUM(INDEX(Tasks[_LeafTotalCost],Tasks[[#This Row],[_Row]]+1):INDEX(Tasks[_LeafTotalCost],Tasks[[#This Row],[_Row]]+Tasks[[#This Row],[_Descendants]])),Tasks[[#This Row],[_LeafTotalCost]]))</f>
        <v/>
      </c>
      <c r="AU175" s="98"/>
      <c r="AV175" s="29"/>
      <c r="AW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5" s="83"/>
      <c r="AY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5" s="30"/>
      <c r="BA175" s="25" t="str">
        <f aca="false">IF(Tasks[[#This Row],[Task Name]]="","",Tasks[[#This Row],[Forecast Start]])</f>
        <v/>
      </c>
      <c r="BB175" s="25" t="str">
        <f aca="false">IF(Tasks[[#This Row],[Task Name]]="","",Tasks[[#This Row],[Forecast Finish]])</f>
        <v/>
      </c>
      <c r="BC175" s="28" t="str">
        <f aca="false">IF(Tasks[[#This Row],[Task Name]]="","",IF(Tasks[[#This Row],[_IsSummary]],NETWORKDAYS.INTL(Tasks[[#This Row],[Forecast Start]],Tasks[[#This Row],[Forecast Finish]],WorkWeek,Holidays),N(Tasks[[#This Row],[Duration]])))</f>
        <v/>
      </c>
      <c r="BD175" s="96" t="str">
        <f aca="false">IF(Tasks[[#This Row],[Task Name]]="","",Tasks[[#This Row],[Work]])</f>
        <v/>
      </c>
      <c r="BE175" s="97" t="str">
        <f aca="false">IF(Tasks[[#This Row],[Task Name]]="","",Tasks[[#This Row],[Cost]])</f>
        <v/>
      </c>
      <c r="BF175" s="75"/>
      <c r="BG175" s="75"/>
      <c r="BH175" s="29"/>
      <c r="BI175" s="99"/>
      <c r="BJ175" s="98"/>
      <c r="BK175" s="28" t="str">
        <f aca="false">IF(OR(Tasks[[#This Row],[Task Name]]="",Tasks[[#This Row],[Baseline Duration]]=""),"",Tasks[[#This Row],[BL Source Duration]]-N(Tasks[[#This Row],[Baseline Duration]]))</f>
        <v/>
      </c>
      <c r="BL175" s="96" t="str">
        <f aca="false">IF(OR(Tasks[[#This Row],[Task Name]]="",Tasks[[#This Row],[Baseline Work]]=""),"",Tasks[[#This Row],[Work]]-N(Tasks[[#This Row],[Baseline Work]]))</f>
        <v/>
      </c>
      <c r="BM175" s="97" t="str">
        <f aca="false">IF(OR(Tasks[[#This Row],[Task Name]]="",Tasks[[#This Row],[Baseline Cost]]=""),"",Tasks[[#This Row],[Cost]]-N(Tasks[[#This Row],[Baseline Cost]]))</f>
        <v/>
      </c>
      <c r="BN175" s="97" t="str">
        <f aca="false">IF(Tasks[[#This Row],[Task Name]]="","",IF(Tasks[[#This Row],[_IsSummary]],SUM(INDEX(Tasks[_LeafBudget],Tasks[[#This Row],[_Row]]+1):INDEX(Tasks[_LeafBudget],Tasks[[#This Row],[_Row]]+Tasks[[#This Row],[_Descendants]])),Tasks[[#This Row],[_LeafBudget]]))</f>
        <v/>
      </c>
      <c r="BO175" s="97" t="str">
        <f aca="false">IF(Tasks[[#This Row],[Task Name]]="","",IF(Tasks[[#This Row],[_IsSummary]],SUM(INDEX(Tasks[_LeafPV],Tasks[[#This Row],[_Row]]+1):INDEX(Tasks[_LeafPV],Tasks[[#This Row],[_Row]]+Tasks[[#This Row],[_Descendants]])),Tasks[[#This Row],[_LeafPV]]))</f>
        <v/>
      </c>
      <c r="BP175" s="97" t="str">
        <f aca="false">IF(Tasks[[#This Row],[Task Name]]="","",IF(Tasks[[#This Row],[_IsSummary]],SUM(INDEX(Tasks[_LeafEV],Tasks[[#This Row],[_Row]]+1):INDEX(Tasks[_LeafEV],Tasks[[#This Row],[_Row]]+Tasks[[#This Row],[_Descendants]])),Tasks[[#This Row],[_LeafEV]]))</f>
        <v/>
      </c>
      <c r="BQ175" s="97" t="str">
        <f aca="false">IF(Tasks[[#This Row],[Task Name]]="","",IF(Tasks[[#This Row],[_IsSummary]],SUM(INDEX(Tasks[_LeafAC],Tasks[[#This Row],[_Row]]+1):INDEX(Tasks[_LeafAC],Tasks[[#This Row],[_Row]]+Tasks[[#This Row],[_Descendants]])),Tasks[[#This Row],[_LeafAC]]))</f>
        <v/>
      </c>
      <c r="BR175" s="41" t="str">
        <f aca="false">IF(Tasks[[#This Row],[Task Name]]="","",MAX(1,N(Tasks[[#This Row],[Level]])))</f>
        <v/>
      </c>
      <c r="BS175" s="41" t="n">
        <f aca="false">ROW()-ROW(Tasks[[#Headers],[ID]])</f>
        <v>170</v>
      </c>
      <c r="BT175" s="41" t="n">
        <f aca="false">IF(OR(Tasks[[#This Row],[Task Name]]="",Tasks[[#This Row],[_Level]]&lt;=1),0,IFERROR(LOOKUP(2,1/(Tasks[[#Headers],[_Level]]:Tasks[[#This Row],[_Level]]=Tasks[[#This Row],[_Level]]-1),ROW(Tasks[[#Headers],[_Level]]:Tasks[[#This Row],[_Level]])),0))</f>
        <v>0</v>
      </c>
      <c r="BU175" s="41" t="n">
        <f aca="false">IFERROR(N(INDEX(Tasks[_Level],Tasks[[#This Row],[_Row]]+1)),0)</f>
        <v>0</v>
      </c>
      <c r="BV175" s="100" t="b">
        <f aca="false">AND(Tasks[[#This Row],[Task Name]]&lt;&gt;"",Tasks[[#This Row],[_NextLevel]]&gt;Tasks[[#This Row],[_Level]])</f>
        <v>0</v>
      </c>
      <c r="BW175" s="41" t="n">
        <f aca="false">IF(Tasks[[#This Row],[_IsSummary]],COUNTIF(Tasks[WBS],Tasks[[#This Row],[WBS]]&amp;".*"),0)</f>
        <v>0</v>
      </c>
      <c r="BX175" s="41" t="n">
        <f aca="false">IF(AND(Tasks[[#This Row],[Task Name]]&lt;&gt;"",NOT(Tasks[[#This Row],[_IsSummary]])),1,0)</f>
        <v>0</v>
      </c>
      <c r="BY175" s="41" t="n">
        <f aca="false">IF(N(Tasks[[#This Row],[Pred1 UID]])=0,0,IFERROR(MATCH(Tasks[[#This Row],[Pred1 UID]],Tasks[UID],0),-1))</f>
        <v>0</v>
      </c>
      <c r="BZ175" s="41" t="n">
        <f aca="false">IF(N(Tasks[[#This Row],[Pred2 UID]])=0,0,IFERROR(MATCH(Tasks[[#This Row],[Pred2 UID]],Tasks[UID],0),-1))</f>
        <v>0</v>
      </c>
      <c r="CA175" s="41" t="n">
        <f aca="false">IF(N(Tasks[[#This Row],[Pred3 UID]])=0,0,IFERROR(MATCH(Tasks[[#This Row],[Pred3 UID]],Tasks[UID],0),-1))</f>
        <v>0</v>
      </c>
      <c r="CB175" s="41" t="n">
        <f aca="false">IF(N(Tasks[[#This Row],[Pred4 UID]])=0,0,IFERROR(MATCH(Tasks[[#This Row],[Pred4 UID]],Tasks[UID],0),-1))</f>
        <v>0</v>
      </c>
      <c r="CC1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5" s="101" t="n">
        <f aca="false">IF(OR(Tasks[[#This Row],[_ConstraintCode]]=2,Tasks[[#This Row],[_ConstraintCode]]=3,Tasks[[#This Row],[_ConstraintCode]]=4,Tasks[[#This Row],[_ConstraintCode]]=6),Tasks[[#This Row],[_ConstraintStart]],0)</f>
        <v>0</v>
      </c>
      <c r="CF175" s="101" t="n">
        <f aca="false">IF(OR(Tasks[[#This Row],[_ConstraintCode]]=2,Tasks[[#This Row],[_ConstraintCode]]=3,Tasks[[#This Row],[_ConstraintCode]]=5,Tasks[[#This Row],[_ConstraintCode]]=7),Tasks[[#This Row],[_ConstraintStart]],2958465)</f>
        <v>2958465</v>
      </c>
      <c r="CG17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5" s="101" t="str">
        <f aca="false">IF(NOT(Tasks[[#This Row],[_IsLeaf]]=1),"",IF(N(Tasks[[#This Row],[Duration]])&lt;=0,Tasks[[#This Row],[_LeafCalcStart]],WORKDAY.INTL(Tasks[[#This Row],[_LeafCalcStart]],Tasks[[#This Row],[Duration]]-1,WorkWeek,Holidays)))</f>
        <v/>
      </c>
      <c r="CI17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5" s="41" t="n">
        <f aca="false">IF(NOT(Tasks[[#This Row],[_IsLeaf]]=1),0,IF(N(Tasks[[#This Row],[Actual Finish]])&gt;0,1,MIN(1,N(Tasks[[#This Row],[% Complete]]))))</f>
        <v>0</v>
      </c>
      <c r="CL175" s="41" t="n">
        <f aca="false">IF(OR(NOT(Tasks[[#This Row],[_IsLeaf]]=1),Tasks[[#This Row],[Resource]]=""),0,N(Tasks[[#This Row],[Duration]])*HoursPerDay*IF(Tasks[[#This Row],[Units]]="",DefaultUnits,Tasks[[#This Row],[Units]]))</f>
        <v>0</v>
      </c>
      <c r="CM175" s="41" t="n">
        <f aca="false">IF(Tasks[[#This Row],[_LeafWork]]=0,0,Tasks[[#This Row],[_LeafWork]]*IFERROR(INDEX(res_Rate,MATCH(Tasks[[#This Row],[Resource]],res_Name,0)),0))</f>
        <v>0</v>
      </c>
      <c r="CN175" s="41" t="n">
        <f aca="false">Tasks[[#This Row],[_LeafWork]]+IF(Tasks[[#This Row],[_IsLeaf]]=1,SUMIFS(asg_Work,asg_TaskUID,Tasks[[#This Row],[UID]],asg_Valid,1),0)</f>
        <v>0</v>
      </c>
      <c r="CO175" s="41" t="n">
        <f aca="false">Tasks[[#This Row],[_LeafCost]]+IF(Tasks[[#This Row],[_IsLeaf]]=1,SUMIFS(asg_Cost,asg_TaskUID,Tasks[[#This Row],[UID]],asg_Valid,1),0)</f>
        <v>0</v>
      </c>
      <c r="CP175" s="41" t="n">
        <f aca="false">IF(Tasks[[#This Row],[_LeafTotalCost]]=0,Tasks[[#This Row],[_LeafAC]],Tasks[[#This Row],[_LeafAC]]*Tasks[[#This Row],[_LeafCost]]/Tasks[[#This Row],[_LeafTotalCost]])</f>
        <v>0</v>
      </c>
      <c r="CQ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5" s="41" t="n">
        <f aca="false">IF(NOT(Tasks[[#This Row],[_IsLeaf]]=1),0,MAX(_xlfn.MAXIFS(Tasks[_Row],Tasks[Pred1 UID],Tasks[[#This Row],[UID]]),_xlfn.MAXIFS(Tasks[_Row],Tasks[Pred2 UID],Tasks[[#This Row],[UID]]),_xlfn.MAXIFS(Tasks[_Row],Tasks[Pred3 UID],Tasks[[#This Row],[UID]]),_xlfn.MAXIFS(Tasks[_Row],Tasks[Pred4 UID],Tasks[[#This Row],[UID]])))</f>
        <v>0</v>
      </c>
      <c r="CZ1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5" s="101" t="str">
        <f aca="false">IF(NOT(Tasks[[#This Row],[_IsLeaf]]=1),"",IF(N(Tasks[[#This Row],[Duration]])&lt;=0,Tasks[[#This Row],[_LeafLateFinish]],WORKDAY.INTL(Tasks[[#This Row],[_LeafLateFinish]],-(Tasks[[#This Row],[Duration]]-1),WorkWeek,Holidays)))</f>
        <v/>
      </c>
      <c r="DC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5" s="100" t="b">
        <f aca="false">AND(Tasks[[#This Row],[_IsLeaf]]=1,Tasks[[#This Row],[_LeafProgress]]&lt;1,N(Tasks[[#This Row],[_LeafTotalSlack]])&lt;=CriticalSlackDays)</f>
        <v>0</v>
      </c>
      <c r="DE175" s="41" t="n">
        <f aca="false">IF(AND(Tasks[[#This Row],[_IsLeaf]]=1,Tasks[[#This Row],[_ConstraintCode]]=1,Tasks[[#This Row],[Mode]]&lt;&gt;"Manual",N(Tasks[[#This Row],[Actual Start]])=0),MAX(0,N(Tasks[[#This Row],[Free Slack]])),0)</f>
        <v>0</v>
      </c>
      <c r="DF175" s="101" t="str">
        <f aca="false">IF(NOT(Tasks[[#This Row],[_IsLeaf]]=1),"",IF(Tasks[[#This Row],[_AlapShift]]=0,Tasks[[#This Row],[_LeafCalcStart]],WORKDAY.INTL(Tasks[[#This Row],[_LeafCalcStart]],Tasks[[#This Row],[_AlapShift]],WorkWeek,Holidays)))</f>
        <v/>
      </c>
      <c r="DG175" s="101" t="str">
        <f aca="false">IF(NOT(Tasks[[#This Row],[_IsLeaf]]=1),"",IF(Tasks[[#This Row],[_AlapShift]]=0,Tasks[[#This Row],[_LeafCalcFinish]],WORKDAY.INTL(Tasks[[#This Row],[_LeafCalcFinish]],Tasks[[#This Row],[_AlapShift]],WorkWeek,Holidays)))</f>
        <v/>
      </c>
      <c r="DH175" s="101" t="str">
        <f aca="false">IF(NOT(Tasks[[#This Row],[_IsLeaf]]=1),"",IF(Tasks[[#This Row],[_AlapShift]]=0,Tasks[[#This Row],[_LeafFcstStart]],WORKDAY.INTL(Tasks[[#This Row],[_LeafFcstStart]],Tasks[[#This Row],[_AlapShift]],WorkWeek,Holidays)))</f>
        <v/>
      </c>
      <c r="DI175" s="101" t="str">
        <f aca="false">IF(NOT(Tasks[[#This Row],[_IsLeaf]]=1),"",IF(Tasks[[#This Row],[_AlapShift]]=0,Tasks[[#This Row],[_LeafFcstFinish]],WORKDAY.INTL(Tasks[[#This Row],[_LeafFcstFinish]],Tasks[[#This Row],[_AlapShift]],WorkWeek,Holidays)))</f>
        <v/>
      </c>
      <c r="DJ175" s="101" t="str">
        <f aca="false">IF(Tasks[[#This Row],[Task Name]]="","",IF(Tasks[[#This Row],[_IsSummary]],MIN(INDEX(Tasks[_ShownCalcStart],Tasks[[#This Row],[_Row]]+1):INDEX(Tasks[_ShownCalcStart],Tasks[[#This Row],[_Row]]+Tasks[[#This Row],[_Descendants]])),Tasks[[#This Row],[_ShownCalcStart]]))</f>
        <v/>
      </c>
      <c r="DK175" s="101" t="str">
        <f aca="false">IF(Tasks[[#This Row],[Task Name]]="","",IF(Tasks[[#This Row],[_IsSummary]],MAX(INDEX(Tasks[_ShownCalcFinish],Tasks[[#This Row],[_Row]]+1):INDEX(Tasks[_ShownCalcFinish],Tasks[[#This Row],[_Row]]+Tasks[[#This Row],[_Descendants]])),Tasks[[#This Row],[_ShownCalcFinish]]))</f>
        <v/>
      </c>
      <c r="D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5" s="41" t="n">
        <f aca="false">IF(AND(Tasks[[#This Row],[_IsLeaf]]=1,Tasks[[#This Row],[_LeafTotalWork]]&gt;0),NETWORKDAYS.INTL(ProjectStart,Tasks[[#This Row],[_ShownFcstStart]],WorkWeek,Holidays),0)</f>
        <v>0</v>
      </c>
      <c r="DY175" s="41" t="n">
        <f aca="false">IF(AND(Tasks[[#This Row],[_IsLeaf]]=1,Tasks[[#This Row],[_LeafTotalWork]]&gt;0),MAX(Tasks[[#This Row],[_StartWorkday]],NETWORKDAYS.INTL(ProjectStart,Tasks[[#This Row],[_ShownFcstFinish]],WorkWeek,Holidays)),0)</f>
        <v>0</v>
      </c>
      <c r="DZ175" s="41" t="n">
        <f aca="false">IF(AND(Tasks[[#This Row],[_IsLeaf]]=1,Tasks[[#This Row],[_LeafTotalWork]]&gt;0),Tasks[[#This Row],[_LeafWork]]/(Tasks[[#This Row],[_FinishWorkday]]-Tasks[[#This Row],[_StartWorkday]]+1),0)</f>
        <v>0</v>
      </c>
      <c r="EA175" s="41" t="n">
        <f aca="false">Tasks[[#This Row],[_WorkPerWorkday]]*(Tasks[[#This Row],[_StartWorkday]]-1)</f>
        <v>-0</v>
      </c>
      <c r="EB175" s="41" t="n">
        <f aca="false">IF(Tasks[[#This Row],[_IsLeaf]]=1,MAX(N(Tasks[[#This Row],[Duration]]),0.1),0)</f>
        <v>0</v>
      </c>
      <c r="EC175" s="41" t="n">
        <f aca="false">Tasks[[#This Row],[_WeightDur]]*Tasks[[#This Row],[_LeafProgress]]</f>
        <v>0</v>
      </c>
      <c r="ED1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5" s="41" t="str">
        <f aca="false">IF(AND(Tasks[[#This Row],[_IsLeaf]]=1,N(Tasks[[#This Row],[Duration]])=0,Tasks[[#This Row],[_LeafProgress]]&lt;1),Tasks[[#This Row],[_ShownFcstFinish]]+Tasks[[#This Row],[_Row]]/100000,"")</f>
        <v/>
      </c>
      <c r="EF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5" s="41" t="n">
        <f aca="false">IF(NOT(Tasks[[#This Row],[_IsLeaf]]=1),0,IF(Tasks[[#This Row],[Baseline Cost]]="",Tasks[[#This Row],[_LeafTotalCost]],N(Tasks[[#This Row],[Baseline Cost]])))</f>
        <v>0</v>
      </c>
      <c r="EH175" s="41" t="n">
        <f aca="false">Tasks[[#This Row],[_LeafBudget]]*Tasks[[#This Row],[_PlannedPct]]</f>
        <v>0</v>
      </c>
      <c r="EI175" s="41" t="n">
        <f aca="false">Tasks[[#This Row],[_LeafBudget]]*Tasks[[#This Row],[_LeafProgress]]</f>
        <v>0</v>
      </c>
      <c r="EJ175" s="41" t="n">
        <f aca="false">IF(NOT(Tasks[[#This Row],[_IsLeaf]]=1),0,IF(Tasks[[#This Row],[Actual Cost]]="",Tasks[[#This Row],[_LeafTotalCost]]*Tasks[[#This Row],[_LeafProgress]],N(Tasks[[#This Row],[Actual Cost]])))</f>
        <v>0</v>
      </c>
      <c r="EK175" s="41" t="str">
        <f aca="false">IF(Tasks[[#This Row],[Task Name]]="","",LEFT(Tasks[[#This Row],[WBS]],FIND(".",Tasks[[#This Row],[WBS]]&amp;".")-1))</f>
        <v/>
      </c>
      <c r="EL175" s="41" t="str">
        <f aca="false">IF(AND(Tasks[[#This Row],[Task Name]]&lt;&gt;"",Tasks[[#This Row],[_Level]]=1),Tasks[[#This Row],[_Row]],"")</f>
        <v/>
      </c>
      <c r="EM175" s="41" t="str">
        <f aca="false">IF(AND(Tasks[[#This Row],[_IsLeaf]]=1,N(Tasks[[#This Row],[Duration]])=0),Tasks[[#This Row],[Planned Finish]]+Tasks[[#This Row],[_Row]]/100000,"")</f>
        <v/>
      </c>
      <c r="EN175" s="41" t="str">
        <f aca="false">IF(AND(Tasks[[#This Row],[_IsLeaf]]=1,Tasks[[#This Row],[_LeafProgress]]&lt;1,OR(N(Tasks[[#This Row],[Finish Var]])&gt;0,Tasks[[#This Row],[Status]]="Late Start")),MAX(0,Tasks[[#This Row],[Finish Var]])+1-Tasks[[#This Row],[_Row]]/1000000,"")</f>
        <v/>
      </c>
      <c r="EO175" s="41" t="str">
        <f aca="false">IF(AND(Tasks[[#This Row],[_IsLeaf]]=1,N(Tasks[[#This Row],[Actual Start]])=0,Tasks[[#This Row],[_ShownFcstStart]]&gt;=StatusDate,Tasks[[#This Row],[_ShownFcstStart]]&lt;=LookaheadEnd),Tasks[[#This Row],[_ShownFcstStart]]+Tasks[[#This Row],[_Row]]/100000,"")</f>
        <v/>
      </c>
      <c r="EP175" s="41" t="str">
        <f aca="false">IF(AND(Tasks[[#This Row],[_IsLeaf]]=1,Tasks[[#This Row],[_LeafProgress]]&lt;1,Tasks[[#This Row],[_ShownFcstFinish]]&gt;=StatusDate,Tasks[[#This Row],[_ShownFcstFinish]]&lt;=LookaheadEnd),Tasks[[#This Row],[_ShownFcstFinish]]+Tasks[[#This Row],[_Row]]/100000,"")</f>
        <v/>
      </c>
      <c r="EQ175" s="41" t="str">
        <f aca="false">IF(Tasks[[#This Row],[_LeafCritical]],Tasks[[#This Row],[_ShownFcstStart]]+Tasks[[#This Row],[_Row]]/100000,"")</f>
        <v/>
      </c>
      <c r="ER175" s="41" t="n">
        <f aca="false">Tasks[[#This Row],[_LeafWork]]*Tasks[[#This Row],[_LeafProgress]]</f>
        <v>0</v>
      </c>
      <c r="ES175" s="101" t="str">
        <f aca="false">IF(AND(Tasks[[#This Row],[_IsLeaf]]=1,Tasks[[#This Row],[_LeafProgress]]&gt;=1),IF(N(Tasks[[#This Row],[Actual Finish]])&gt;0,Tasks[[#This Row],[Actual Finish]],Tasks[[#This Row],[_ShownFcstFinish]]),"")</f>
        <v/>
      </c>
      <c r="ET175" s="41" t="n">
        <f aca="false">IF(Tasks[[#This Row],[_IsLeaf]]=1,N(Tasks[[#This Row],[Story Points]]),0)</f>
        <v>0</v>
      </c>
      <c r="EU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29"/>
      <c r="O176" s="29"/>
      <c r="P176" s="29"/>
      <c r="Q176" s="29"/>
      <c r="R176" s="29"/>
      <c r="S176" s="29"/>
      <c r="T176" s="30"/>
      <c r="U176" s="75"/>
      <c r="V176" s="75"/>
      <c r="W176" s="25" t="str">
        <f aca="false">IF(Tasks[[#This Row],[Task Name]]="","",IF(N(Tasks[[#This Row],[Baseline Start]])&gt;0,Tasks[[#This Row],[Baseline Start]],Tasks[[#This Row],[_CalcStart]]))</f>
        <v/>
      </c>
      <c r="X176" s="25" t="str">
        <f aca="false">IF(Tasks[[#This Row],[Task Name]]="","",IF(N(Tasks[[#This Row],[Baseline Finish]])&gt;0,Tasks[[#This Row],[Baseline Finish]],Tasks[[#This Row],[_CalcFinish]]))</f>
        <v/>
      </c>
      <c r="Y176" s="75"/>
      <c r="Z176" s="75"/>
      <c r="AA176" s="25" t="str">
        <f aca="false">IF(Tasks[[#This Row],[Task Name]]="","",IF(Tasks[[#This Row],[_IsSummary]],MIN(INDEX(Tasks[_ShownFcstStart],Tasks[[#This Row],[_Row]]+1):INDEX(Tasks[_ShownFcstStart],Tasks[[#This Row],[_Row]]+Tasks[[#This Row],[_Descendants]])),Tasks[[#This Row],[_ShownFcstStart]]))</f>
        <v/>
      </c>
      <c r="AB176" s="25" t="str">
        <f aca="false">IF(Tasks[[#This Row],[Task Name]]="","",IF(Tasks[[#This Row],[_IsSummary]],MAX(INDEX(Tasks[_ShownFcstFinish],Tasks[[#This Row],[_Row]]+1):INDEX(Tasks[_ShownFcstFinish],Tasks[[#This Row],[_Row]]+Tasks[[#This Row],[_Descendants]])),Tasks[[#This Row],[_ShownFcstFinish]]))</f>
        <v/>
      </c>
      <c r="AC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6" s="25" t="str">
        <f aca="false">IF(Tasks[[#This Row],[Task Name]]="","",IF(Tasks[[#This Row],[_IsSummary]],MIN(INDEX(Tasks[_LeafLateStart],Tasks[[#This Row],[_Row]]+1):INDEX(Tasks[_LeafLateStart],Tasks[[#This Row],[_Row]]+Tasks[[#This Row],[_Descendants]])),Tasks[[#This Row],[_LeafLateStart]]))</f>
        <v/>
      </c>
      <c r="AF176" s="25" t="str">
        <f aca="false">IF(Tasks[[#This Row],[Task Name]]="","",IF(Tasks[[#This Row],[_IsSummary]],MAX(INDEX(Tasks[_LeafLateFinish],Tasks[[#This Row],[_Row]]+1):INDEX(Tasks[_LeafLateFinish],Tasks[[#This Row],[_Row]]+Tasks[[#This Row],[_Descendants]])),Tasks[[#This Row],[_LeafLateFinish]]))</f>
        <v/>
      </c>
      <c r="AG176" s="28" t="str">
        <f aca="false">IF(Tasks[[#This Row],[Task Name]]="","",IF(Tasks[[#This Row],[_IsSummary]],MIN(INDEX(Tasks[_LeafTotalSlack],Tasks[[#This Row],[_Row]]+1):INDEX(Tasks[_LeafTotalSlack],Tasks[[#This Row],[_Row]]+Tasks[[#This Row],[_Descendants]])),Tasks[[#This Row],[_LeafTotalSlack]]))</f>
        <v/>
      </c>
      <c r="AH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6" s="28" t="str">
        <f aca="false">IF(Tasks[[#This Row],[Task Name]]="","",IF(IF(Tasks[[#This Row],[_IsSummary]],COUNTIF(INDEX(Tasks[_LeafCritical],Tasks[[#This Row],[_Row]]+1):INDEX(Tasks[_LeafCritical],Tasks[[#This Row],[_Row]]+Tasks[[#This Row],[_Descendants]]),TRUE())&gt;0,Tasks[[#This Row],[_LeafCritical]]),"Yes",""))</f>
        <v/>
      </c>
      <c r="AJ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6" s="89"/>
      <c r="AM1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6" s="28" t="str">
        <f aca="false">IF(Tasks[[#This Row],[Task Name]]="","",IF(Tasks[[#This Row],[Progress]]&gt;=1,"Complete",IF(OR(N(Tasks[[#This Row],[Actual Start]])&gt;0,Tasks[[#This Row],[Progress]]&gt;0),IF(Tasks[[#This Row],[Finish Var]]&gt;0,"Behind","In Progress"),IF(Tasks[[#This Row],[Planned Start]]&lt;StatusDate,"Late Start","Not Started"))))</f>
        <v/>
      </c>
      <c r="AO176" s="30"/>
      <c r="AP176" s="89"/>
      <c r="AQ1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6" s="96" t="str">
        <f aca="false">IF(Tasks[[#This Row],[Task Name]]="","",IF(Tasks[[#This Row],[_IsSummary]],SUM(INDEX(Tasks[_LeafTotalWork],Tasks[[#This Row],[_Row]]+1):INDEX(Tasks[_LeafTotalWork],Tasks[[#This Row],[_Row]]+Tasks[[#This Row],[_Descendants]])),Tasks[[#This Row],[_LeafTotalWork]]))</f>
        <v/>
      </c>
      <c r="AT176" s="97" t="str">
        <f aca="false">IF(Tasks[[#This Row],[Task Name]]="","",IF(Tasks[[#This Row],[_IsSummary]],SUM(INDEX(Tasks[_LeafTotalCost],Tasks[[#This Row],[_Row]]+1):INDEX(Tasks[_LeafTotalCost],Tasks[[#This Row],[_Row]]+Tasks[[#This Row],[_Descendants]])),Tasks[[#This Row],[_LeafTotalCost]]))</f>
        <v/>
      </c>
      <c r="AU176" s="98"/>
      <c r="AV176" s="29"/>
      <c r="AW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6" s="83"/>
      <c r="AY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6" s="30"/>
      <c r="BA176" s="25" t="str">
        <f aca="false">IF(Tasks[[#This Row],[Task Name]]="","",Tasks[[#This Row],[Forecast Start]])</f>
        <v/>
      </c>
      <c r="BB176" s="25" t="str">
        <f aca="false">IF(Tasks[[#This Row],[Task Name]]="","",Tasks[[#This Row],[Forecast Finish]])</f>
        <v/>
      </c>
      <c r="BC176" s="28" t="str">
        <f aca="false">IF(Tasks[[#This Row],[Task Name]]="","",IF(Tasks[[#This Row],[_IsSummary]],NETWORKDAYS.INTL(Tasks[[#This Row],[Forecast Start]],Tasks[[#This Row],[Forecast Finish]],WorkWeek,Holidays),N(Tasks[[#This Row],[Duration]])))</f>
        <v/>
      </c>
      <c r="BD176" s="96" t="str">
        <f aca="false">IF(Tasks[[#This Row],[Task Name]]="","",Tasks[[#This Row],[Work]])</f>
        <v/>
      </c>
      <c r="BE176" s="97" t="str">
        <f aca="false">IF(Tasks[[#This Row],[Task Name]]="","",Tasks[[#This Row],[Cost]])</f>
        <v/>
      </c>
      <c r="BF176" s="75"/>
      <c r="BG176" s="75"/>
      <c r="BH176" s="29"/>
      <c r="BI176" s="99"/>
      <c r="BJ176" s="98"/>
      <c r="BK176" s="28" t="str">
        <f aca="false">IF(OR(Tasks[[#This Row],[Task Name]]="",Tasks[[#This Row],[Baseline Duration]]=""),"",Tasks[[#This Row],[BL Source Duration]]-N(Tasks[[#This Row],[Baseline Duration]]))</f>
        <v/>
      </c>
      <c r="BL176" s="96" t="str">
        <f aca="false">IF(OR(Tasks[[#This Row],[Task Name]]="",Tasks[[#This Row],[Baseline Work]]=""),"",Tasks[[#This Row],[Work]]-N(Tasks[[#This Row],[Baseline Work]]))</f>
        <v/>
      </c>
      <c r="BM176" s="97" t="str">
        <f aca="false">IF(OR(Tasks[[#This Row],[Task Name]]="",Tasks[[#This Row],[Baseline Cost]]=""),"",Tasks[[#This Row],[Cost]]-N(Tasks[[#This Row],[Baseline Cost]]))</f>
        <v/>
      </c>
      <c r="BN176" s="97" t="str">
        <f aca="false">IF(Tasks[[#This Row],[Task Name]]="","",IF(Tasks[[#This Row],[_IsSummary]],SUM(INDEX(Tasks[_LeafBudget],Tasks[[#This Row],[_Row]]+1):INDEX(Tasks[_LeafBudget],Tasks[[#This Row],[_Row]]+Tasks[[#This Row],[_Descendants]])),Tasks[[#This Row],[_LeafBudget]]))</f>
        <v/>
      </c>
      <c r="BO176" s="97" t="str">
        <f aca="false">IF(Tasks[[#This Row],[Task Name]]="","",IF(Tasks[[#This Row],[_IsSummary]],SUM(INDEX(Tasks[_LeafPV],Tasks[[#This Row],[_Row]]+1):INDEX(Tasks[_LeafPV],Tasks[[#This Row],[_Row]]+Tasks[[#This Row],[_Descendants]])),Tasks[[#This Row],[_LeafPV]]))</f>
        <v/>
      </c>
      <c r="BP176" s="97" t="str">
        <f aca="false">IF(Tasks[[#This Row],[Task Name]]="","",IF(Tasks[[#This Row],[_IsSummary]],SUM(INDEX(Tasks[_LeafEV],Tasks[[#This Row],[_Row]]+1):INDEX(Tasks[_LeafEV],Tasks[[#This Row],[_Row]]+Tasks[[#This Row],[_Descendants]])),Tasks[[#This Row],[_LeafEV]]))</f>
        <v/>
      </c>
      <c r="BQ176" s="97" t="str">
        <f aca="false">IF(Tasks[[#This Row],[Task Name]]="","",IF(Tasks[[#This Row],[_IsSummary]],SUM(INDEX(Tasks[_LeafAC],Tasks[[#This Row],[_Row]]+1):INDEX(Tasks[_LeafAC],Tasks[[#This Row],[_Row]]+Tasks[[#This Row],[_Descendants]])),Tasks[[#This Row],[_LeafAC]]))</f>
        <v/>
      </c>
      <c r="BR176" s="41" t="str">
        <f aca="false">IF(Tasks[[#This Row],[Task Name]]="","",MAX(1,N(Tasks[[#This Row],[Level]])))</f>
        <v/>
      </c>
      <c r="BS176" s="41" t="n">
        <f aca="false">ROW()-ROW(Tasks[[#Headers],[ID]])</f>
        <v>171</v>
      </c>
      <c r="BT176" s="41" t="n">
        <f aca="false">IF(OR(Tasks[[#This Row],[Task Name]]="",Tasks[[#This Row],[_Level]]&lt;=1),0,IFERROR(LOOKUP(2,1/(Tasks[[#Headers],[_Level]]:Tasks[[#This Row],[_Level]]=Tasks[[#This Row],[_Level]]-1),ROW(Tasks[[#Headers],[_Level]]:Tasks[[#This Row],[_Level]])),0))</f>
        <v>0</v>
      </c>
      <c r="BU176" s="41" t="n">
        <f aca="false">IFERROR(N(INDEX(Tasks[_Level],Tasks[[#This Row],[_Row]]+1)),0)</f>
        <v>0</v>
      </c>
      <c r="BV176" s="100" t="b">
        <f aca="false">AND(Tasks[[#This Row],[Task Name]]&lt;&gt;"",Tasks[[#This Row],[_NextLevel]]&gt;Tasks[[#This Row],[_Level]])</f>
        <v>0</v>
      </c>
      <c r="BW176" s="41" t="n">
        <f aca="false">IF(Tasks[[#This Row],[_IsSummary]],COUNTIF(Tasks[WBS],Tasks[[#This Row],[WBS]]&amp;".*"),0)</f>
        <v>0</v>
      </c>
      <c r="BX176" s="41" t="n">
        <f aca="false">IF(AND(Tasks[[#This Row],[Task Name]]&lt;&gt;"",NOT(Tasks[[#This Row],[_IsSummary]])),1,0)</f>
        <v>0</v>
      </c>
      <c r="BY176" s="41" t="n">
        <f aca="false">IF(N(Tasks[[#This Row],[Pred1 UID]])=0,0,IFERROR(MATCH(Tasks[[#This Row],[Pred1 UID]],Tasks[UID],0),-1))</f>
        <v>0</v>
      </c>
      <c r="BZ176" s="41" t="n">
        <f aca="false">IF(N(Tasks[[#This Row],[Pred2 UID]])=0,0,IFERROR(MATCH(Tasks[[#This Row],[Pred2 UID]],Tasks[UID],0),-1))</f>
        <v>0</v>
      </c>
      <c r="CA176" s="41" t="n">
        <f aca="false">IF(N(Tasks[[#This Row],[Pred3 UID]])=0,0,IFERROR(MATCH(Tasks[[#This Row],[Pred3 UID]],Tasks[UID],0),-1))</f>
        <v>0</v>
      </c>
      <c r="CB176" s="41" t="n">
        <f aca="false">IF(N(Tasks[[#This Row],[Pred4 UID]])=0,0,IFERROR(MATCH(Tasks[[#This Row],[Pred4 UID]],Tasks[UID],0),-1))</f>
        <v>0</v>
      </c>
      <c r="CC1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6" s="101" t="n">
        <f aca="false">IF(OR(Tasks[[#This Row],[_ConstraintCode]]=2,Tasks[[#This Row],[_ConstraintCode]]=3,Tasks[[#This Row],[_ConstraintCode]]=4,Tasks[[#This Row],[_ConstraintCode]]=6),Tasks[[#This Row],[_ConstraintStart]],0)</f>
        <v>0</v>
      </c>
      <c r="CF176" s="101" t="n">
        <f aca="false">IF(OR(Tasks[[#This Row],[_ConstraintCode]]=2,Tasks[[#This Row],[_ConstraintCode]]=3,Tasks[[#This Row],[_ConstraintCode]]=5,Tasks[[#This Row],[_ConstraintCode]]=7),Tasks[[#This Row],[_ConstraintStart]],2958465)</f>
        <v>2958465</v>
      </c>
      <c r="CG17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6" s="101" t="str">
        <f aca="false">IF(NOT(Tasks[[#This Row],[_IsLeaf]]=1),"",IF(N(Tasks[[#This Row],[Duration]])&lt;=0,Tasks[[#This Row],[_LeafCalcStart]],WORKDAY.INTL(Tasks[[#This Row],[_LeafCalcStart]],Tasks[[#This Row],[Duration]]-1,WorkWeek,Holidays)))</f>
        <v/>
      </c>
      <c r="CI17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6" s="41" t="n">
        <f aca="false">IF(NOT(Tasks[[#This Row],[_IsLeaf]]=1),0,IF(N(Tasks[[#This Row],[Actual Finish]])&gt;0,1,MIN(1,N(Tasks[[#This Row],[% Complete]]))))</f>
        <v>0</v>
      </c>
      <c r="CL176" s="41" t="n">
        <f aca="false">IF(OR(NOT(Tasks[[#This Row],[_IsLeaf]]=1),Tasks[[#This Row],[Resource]]=""),0,N(Tasks[[#This Row],[Duration]])*HoursPerDay*IF(Tasks[[#This Row],[Units]]="",DefaultUnits,Tasks[[#This Row],[Units]]))</f>
        <v>0</v>
      </c>
      <c r="CM176" s="41" t="n">
        <f aca="false">IF(Tasks[[#This Row],[_LeafWork]]=0,0,Tasks[[#This Row],[_LeafWork]]*IFERROR(INDEX(res_Rate,MATCH(Tasks[[#This Row],[Resource]],res_Name,0)),0))</f>
        <v>0</v>
      </c>
      <c r="CN176" s="41" t="n">
        <f aca="false">Tasks[[#This Row],[_LeafWork]]+IF(Tasks[[#This Row],[_IsLeaf]]=1,SUMIFS(asg_Work,asg_TaskUID,Tasks[[#This Row],[UID]],asg_Valid,1),0)</f>
        <v>0</v>
      </c>
      <c r="CO176" s="41" t="n">
        <f aca="false">Tasks[[#This Row],[_LeafCost]]+IF(Tasks[[#This Row],[_IsLeaf]]=1,SUMIFS(asg_Cost,asg_TaskUID,Tasks[[#This Row],[UID]],asg_Valid,1),0)</f>
        <v>0</v>
      </c>
      <c r="CP176" s="41" t="n">
        <f aca="false">IF(Tasks[[#This Row],[_LeafTotalCost]]=0,Tasks[[#This Row],[_LeafAC]],Tasks[[#This Row],[_LeafAC]]*Tasks[[#This Row],[_LeafCost]]/Tasks[[#This Row],[_LeafTotalCost]])</f>
        <v>0</v>
      </c>
      <c r="CQ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6" s="41" t="n">
        <f aca="false">IF(NOT(Tasks[[#This Row],[_IsLeaf]]=1),0,MAX(_xlfn.MAXIFS(Tasks[_Row],Tasks[Pred1 UID],Tasks[[#This Row],[UID]]),_xlfn.MAXIFS(Tasks[_Row],Tasks[Pred2 UID],Tasks[[#This Row],[UID]]),_xlfn.MAXIFS(Tasks[_Row],Tasks[Pred3 UID],Tasks[[#This Row],[UID]]),_xlfn.MAXIFS(Tasks[_Row],Tasks[Pred4 UID],Tasks[[#This Row],[UID]])))</f>
        <v>0</v>
      </c>
      <c r="CZ1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6" s="101" t="str">
        <f aca="false">IF(NOT(Tasks[[#This Row],[_IsLeaf]]=1),"",IF(N(Tasks[[#This Row],[Duration]])&lt;=0,Tasks[[#This Row],[_LeafLateFinish]],WORKDAY.INTL(Tasks[[#This Row],[_LeafLateFinish]],-(Tasks[[#This Row],[Duration]]-1),WorkWeek,Holidays)))</f>
        <v/>
      </c>
      <c r="DC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6" s="100" t="b">
        <f aca="false">AND(Tasks[[#This Row],[_IsLeaf]]=1,Tasks[[#This Row],[_LeafProgress]]&lt;1,N(Tasks[[#This Row],[_LeafTotalSlack]])&lt;=CriticalSlackDays)</f>
        <v>0</v>
      </c>
      <c r="DE176" s="41" t="n">
        <f aca="false">IF(AND(Tasks[[#This Row],[_IsLeaf]]=1,Tasks[[#This Row],[_ConstraintCode]]=1,Tasks[[#This Row],[Mode]]&lt;&gt;"Manual",N(Tasks[[#This Row],[Actual Start]])=0),MAX(0,N(Tasks[[#This Row],[Free Slack]])),0)</f>
        <v>0</v>
      </c>
      <c r="DF176" s="101" t="str">
        <f aca="false">IF(NOT(Tasks[[#This Row],[_IsLeaf]]=1),"",IF(Tasks[[#This Row],[_AlapShift]]=0,Tasks[[#This Row],[_LeafCalcStart]],WORKDAY.INTL(Tasks[[#This Row],[_LeafCalcStart]],Tasks[[#This Row],[_AlapShift]],WorkWeek,Holidays)))</f>
        <v/>
      </c>
      <c r="DG176" s="101" t="str">
        <f aca="false">IF(NOT(Tasks[[#This Row],[_IsLeaf]]=1),"",IF(Tasks[[#This Row],[_AlapShift]]=0,Tasks[[#This Row],[_LeafCalcFinish]],WORKDAY.INTL(Tasks[[#This Row],[_LeafCalcFinish]],Tasks[[#This Row],[_AlapShift]],WorkWeek,Holidays)))</f>
        <v/>
      </c>
      <c r="DH176" s="101" t="str">
        <f aca="false">IF(NOT(Tasks[[#This Row],[_IsLeaf]]=1),"",IF(Tasks[[#This Row],[_AlapShift]]=0,Tasks[[#This Row],[_LeafFcstStart]],WORKDAY.INTL(Tasks[[#This Row],[_LeafFcstStart]],Tasks[[#This Row],[_AlapShift]],WorkWeek,Holidays)))</f>
        <v/>
      </c>
      <c r="DI176" s="101" t="str">
        <f aca="false">IF(NOT(Tasks[[#This Row],[_IsLeaf]]=1),"",IF(Tasks[[#This Row],[_AlapShift]]=0,Tasks[[#This Row],[_LeafFcstFinish]],WORKDAY.INTL(Tasks[[#This Row],[_LeafFcstFinish]],Tasks[[#This Row],[_AlapShift]],WorkWeek,Holidays)))</f>
        <v/>
      </c>
      <c r="DJ176" s="101" t="str">
        <f aca="false">IF(Tasks[[#This Row],[Task Name]]="","",IF(Tasks[[#This Row],[_IsSummary]],MIN(INDEX(Tasks[_ShownCalcStart],Tasks[[#This Row],[_Row]]+1):INDEX(Tasks[_ShownCalcStart],Tasks[[#This Row],[_Row]]+Tasks[[#This Row],[_Descendants]])),Tasks[[#This Row],[_ShownCalcStart]]))</f>
        <v/>
      </c>
      <c r="DK176" s="101" t="str">
        <f aca="false">IF(Tasks[[#This Row],[Task Name]]="","",IF(Tasks[[#This Row],[_IsSummary]],MAX(INDEX(Tasks[_ShownCalcFinish],Tasks[[#This Row],[_Row]]+1):INDEX(Tasks[_ShownCalcFinish],Tasks[[#This Row],[_Row]]+Tasks[[#This Row],[_Descendants]])),Tasks[[#This Row],[_ShownCalcFinish]]))</f>
        <v/>
      </c>
      <c r="D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6" s="41" t="n">
        <f aca="false">IF(AND(Tasks[[#This Row],[_IsLeaf]]=1,Tasks[[#This Row],[_LeafTotalWork]]&gt;0),NETWORKDAYS.INTL(ProjectStart,Tasks[[#This Row],[_ShownFcstStart]],WorkWeek,Holidays),0)</f>
        <v>0</v>
      </c>
      <c r="DY176" s="41" t="n">
        <f aca="false">IF(AND(Tasks[[#This Row],[_IsLeaf]]=1,Tasks[[#This Row],[_LeafTotalWork]]&gt;0),MAX(Tasks[[#This Row],[_StartWorkday]],NETWORKDAYS.INTL(ProjectStart,Tasks[[#This Row],[_ShownFcstFinish]],WorkWeek,Holidays)),0)</f>
        <v>0</v>
      </c>
      <c r="DZ176" s="41" t="n">
        <f aca="false">IF(AND(Tasks[[#This Row],[_IsLeaf]]=1,Tasks[[#This Row],[_LeafTotalWork]]&gt;0),Tasks[[#This Row],[_LeafWork]]/(Tasks[[#This Row],[_FinishWorkday]]-Tasks[[#This Row],[_StartWorkday]]+1),0)</f>
        <v>0</v>
      </c>
      <c r="EA176" s="41" t="n">
        <f aca="false">Tasks[[#This Row],[_WorkPerWorkday]]*(Tasks[[#This Row],[_StartWorkday]]-1)</f>
        <v>-0</v>
      </c>
      <c r="EB176" s="41" t="n">
        <f aca="false">IF(Tasks[[#This Row],[_IsLeaf]]=1,MAX(N(Tasks[[#This Row],[Duration]]),0.1),0)</f>
        <v>0</v>
      </c>
      <c r="EC176" s="41" t="n">
        <f aca="false">Tasks[[#This Row],[_WeightDur]]*Tasks[[#This Row],[_LeafProgress]]</f>
        <v>0</v>
      </c>
      <c r="ED1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6" s="41" t="str">
        <f aca="false">IF(AND(Tasks[[#This Row],[_IsLeaf]]=1,N(Tasks[[#This Row],[Duration]])=0,Tasks[[#This Row],[_LeafProgress]]&lt;1),Tasks[[#This Row],[_ShownFcstFinish]]+Tasks[[#This Row],[_Row]]/100000,"")</f>
        <v/>
      </c>
      <c r="EF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6" s="41" t="n">
        <f aca="false">IF(NOT(Tasks[[#This Row],[_IsLeaf]]=1),0,IF(Tasks[[#This Row],[Baseline Cost]]="",Tasks[[#This Row],[_LeafTotalCost]],N(Tasks[[#This Row],[Baseline Cost]])))</f>
        <v>0</v>
      </c>
      <c r="EH176" s="41" t="n">
        <f aca="false">Tasks[[#This Row],[_LeafBudget]]*Tasks[[#This Row],[_PlannedPct]]</f>
        <v>0</v>
      </c>
      <c r="EI176" s="41" t="n">
        <f aca="false">Tasks[[#This Row],[_LeafBudget]]*Tasks[[#This Row],[_LeafProgress]]</f>
        <v>0</v>
      </c>
      <c r="EJ176" s="41" t="n">
        <f aca="false">IF(NOT(Tasks[[#This Row],[_IsLeaf]]=1),0,IF(Tasks[[#This Row],[Actual Cost]]="",Tasks[[#This Row],[_LeafTotalCost]]*Tasks[[#This Row],[_LeafProgress]],N(Tasks[[#This Row],[Actual Cost]])))</f>
        <v>0</v>
      </c>
      <c r="EK176" s="41" t="str">
        <f aca="false">IF(Tasks[[#This Row],[Task Name]]="","",LEFT(Tasks[[#This Row],[WBS]],FIND(".",Tasks[[#This Row],[WBS]]&amp;".")-1))</f>
        <v/>
      </c>
      <c r="EL176" s="41" t="str">
        <f aca="false">IF(AND(Tasks[[#This Row],[Task Name]]&lt;&gt;"",Tasks[[#This Row],[_Level]]=1),Tasks[[#This Row],[_Row]],"")</f>
        <v/>
      </c>
      <c r="EM176" s="41" t="str">
        <f aca="false">IF(AND(Tasks[[#This Row],[_IsLeaf]]=1,N(Tasks[[#This Row],[Duration]])=0),Tasks[[#This Row],[Planned Finish]]+Tasks[[#This Row],[_Row]]/100000,"")</f>
        <v/>
      </c>
      <c r="EN176" s="41" t="str">
        <f aca="false">IF(AND(Tasks[[#This Row],[_IsLeaf]]=1,Tasks[[#This Row],[_LeafProgress]]&lt;1,OR(N(Tasks[[#This Row],[Finish Var]])&gt;0,Tasks[[#This Row],[Status]]="Late Start")),MAX(0,Tasks[[#This Row],[Finish Var]])+1-Tasks[[#This Row],[_Row]]/1000000,"")</f>
        <v/>
      </c>
      <c r="EO176" s="41" t="str">
        <f aca="false">IF(AND(Tasks[[#This Row],[_IsLeaf]]=1,N(Tasks[[#This Row],[Actual Start]])=0,Tasks[[#This Row],[_ShownFcstStart]]&gt;=StatusDate,Tasks[[#This Row],[_ShownFcstStart]]&lt;=LookaheadEnd),Tasks[[#This Row],[_ShownFcstStart]]+Tasks[[#This Row],[_Row]]/100000,"")</f>
        <v/>
      </c>
      <c r="EP176" s="41" t="str">
        <f aca="false">IF(AND(Tasks[[#This Row],[_IsLeaf]]=1,Tasks[[#This Row],[_LeafProgress]]&lt;1,Tasks[[#This Row],[_ShownFcstFinish]]&gt;=StatusDate,Tasks[[#This Row],[_ShownFcstFinish]]&lt;=LookaheadEnd),Tasks[[#This Row],[_ShownFcstFinish]]+Tasks[[#This Row],[_Row]]/100000,"")</f>
        <v/>
      </c>
      <c r="EQ176" s="41" t="str">
        <f aca="false">IF(Tasks[[#This Row],[_LeafCritical]],Tasks[[#This Row],[_ShownFcstStart]]+Tasks[[#This Row],[_Row]]/100000,"")</f>
        <v/>
      </c>
      <c r="ER176" s="41" t="n">
        <f aca="false">Tasks[[#This Row],[_LeafWork]]*Tasks[[#This Row],[_LeafProgress]]</f>
        <v>0</v>
      </c>
      <c r="ES176" s="101" t="str">
        <f aca="false">IF(AND(Tasks[[#This Row],[_IsLeaf]]=1,Tasks[[#This Row],[_LeafProgress]]&gt;=1),IF(N(Tasks[[#This Row],[Actual Finish]])&gt;0,Tasks[[#This Row],[Actual Finish]],Tasks[[#This Row],[_ShownFcstFinish]]),"")</f>
        <v/>
      </c>
      <c r="ET176" s="41" t="n">
        <f aca="false">IF(Tasks[[#This Row],[_IsLeaf]]=1,N(Tasks[[#This Row],[Story Points]]),0)</f>
        <v>0</v>
      </c>
      <c r="EU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29"/>
      <c r="O177" s="29"/>
      <c r="P177" s="29"/>
      <c r="Q177" s="29"/>
      <c r="R177" s="29"/>
      <c r="S177" s="29"/>
      <c r="T177" s="30"/>
      <c r="U177" s="75"/>
      <c r="V177" s="75"/>
      <c r="W177" s="25" t="str">
        <f aca="false">IF(Tasks[[#This Row],[Task Name]]="","",IF(N(Tasks[[#This Row],[Baseline Start]])&gt;0,Tasks[[#This Row],[Baseline Start]],Tasks[[#This Row],[_CalcStart]]))</f>
        <v/>
      </c>
      <c r="X177" s="25" t="str">
        <f aca="false">IF(Tasks[[#This Row],[Task Name]]="","",IF(N(Tasks[[#This Row],[Baseline Finish]])&gt;0,Tasks[[#This Row],[Baseline Finish]],Tasks[[#This Row],[_CalcFinish]]))</f>
        <v/>
      </c>
      <c r="Y177" s="75"/>
      <c r="Z177" s="75"/>
      <c r="AA177" s="25" t="str">
        <f aca="false">IF(Tasks[[#This Row],[Task Name]]="","",IF(Tasks[[#This Row],[_IsSummary]],MIN(INDEX(Tasks[_ShownFcstStart],Tasks[[#This Row],[_Row]]+1):INDEX(Tasks[_ShownFcstStart],Tasks[[#This Row],[_Row]]+Tasks[[#This Row],[_Descendants]])),Tasks[[#This Row],[_ShownFcstStart]]))</f>
        <v/>
      </c>
      <c r="AB177" s="25" t="str">
        <f aca="false">IF(Tasks[[#This Row],[Task Name]]="","",IF(Tasks[[#This Row],[_IsSummary]],MAX(INDEX(Tasks[_ShownFcstFinish],Tasks[[#This Row],[_Row]]+1):INDEX(Tasks[_ShownFcstFinish],Tasks[[#This Row],[_Row]]+Tasks[[#This Row],[_Descendants]])),Tasks[[#This Row],[_ShownFcstFinish]]))</f>
        <v/>
      </c>
      <c r="AC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7" s="25" t="str">
        <f aca="false">IF(Tasks[[#This Row],[Task Name]]="","",IF(Tasks[[#This Row],[_IsSummary]],MIN(INDEX(Tasks[_LeafLateStart],Tasks[[#This Row],[_Row]]+1):INDEX(Tasks[_LeafLateStart],Tasks[[#This Row],[_Row]]+Tasks[[#This Row],[_Descendants]])),Tasks[[#This Row],[_LeafLateStart]]))</f>
        <v/>
      </c>
      <c r="AF177" s="25" t="str">
        <f aca="false">IF(Tasks[[#This Row],[Task Name]]="","",IF(Tasks[[#This Row],[_IsSummary]],MAX(INDEX(Tasks[_LeafLateFinish],Tasks[[#This Row],[_Row]]+1):INDEX(Tasks[_LeafLateFinish],Tasks[[#This Row],[_Row]]+Tasks[[#This Row],[_Descendants]])),Tasks[[#This Row],[_LeafLateFinish]]))</f>
        <v/>
      </c>
      <c r="AG177" s="28" t="str">
        <f aca="false">IF(Tasks[[#This Row],[Task Name]]="","",IF(Tasks[[#This Row],[_IsSummary]],MIN(INDEX(Tasks[_LeafTotalSlack],Tasks[[#This Row],[_Row]]+1):INDEX(Tasks[_LeafTotalSlack],Tasks[[#This Row],[_Row]]+Tasks[[#This Row],[_Descendants]])),Tasks[[#This Row],[_LeafTotalSlack]]))</f>
        <v/>
      </c>
      <c r="AH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7" s="28" t="str">
        <f aca="false">IF(Tasks[[#This Row],[Task Name]]="","",IF(IF(Tasks[[#This Row],[_IsSummary]],COUNTIF(INDEX(Tasks[_LeafCritical],Tasks[[#This Row],[_Row]]+1):INDEX(Tasks[_LeafCritical],Tasks[[#This Row],[_Row]]+Tasks[[#This Row],[_Descendants]]),TRUE())&gt;0,Tasks[[#This Row],[_LeafCritical]]),"Yes",""))</f>
        <v/>
      </c>
      <c r="AJ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7" s="89"/>
      <c r="AM1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7" s="28" t="str">
        <f aca="false">IF(Tasks[[#This Row],[Task Name]]="","",IF(Tasks[[#This Row],[Progress]]&gt;=1,"Complete",IF(OR(N(Tasks[[#This Row],[Actual Start]])&gt;0,Tasks[[#This Row],[Progress]]&gt;0),IF(Tasks[[#This Row],[Finish Var]]&gt;0,"Behind","In Progress"),IF(Tasks[[#This Row],[Planned Start]]&lt;StatusDate,"Late Start","Not Started"))))</f>
        <v/>
      </c>
      <c r="AO177" s="30"/>
      <c r="AP177" s="89"/>
      <c r="AQ1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7" s="96" t="str">
        <f aca="false">IF(Tasks[[#This Row],[Task Name]]="","",IF(Tasks[[#This Row],[_IsSummary]],SUM(INDEX(Tasks[_LeafTotalWork],Tasks[[#This Row],[_Row]]+1):INDEX(Tasks[_LeafTotalWork],Tasks[[#This Row],[_Row]]+Tasks[[#This Row],[_Descendants]])),Tasks[[#This Row],[_LeafTotalWork]]))</f>
        <v/>
      </c>
      <c r="AT177" s="97" t="str">
        <f aca="false">IF(Tasks[[#This Row],[Task Name]]="","",IF(Tasks[[#This Row],[_IsSummary]],SUM(INDEX(Tasks[_LeafTotalCost],Tasks[[#This Row],[_Row]]+1):INDEX(Tasks[_LeafTotalCost],Tasks[[#This Row],[_Row]]+Tasks[[#This Row],[_Descendants]])),Tasks[[#This Row],[_LeafTotalCost]]))</f>
        <v/>
      </c>
      <c r="AU177" s="98"/>
      <c r="AV177" s="29"/>
      <c r="AW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7" s="83"/>
      <c r="AY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7" s="30"/>
      <c r="BA177" s="25" t="str">
        <f aca="false">IF(Tasks[[#This Row],[Task Name]]="","",Tasks[[#This Row],[Forecast Start]])</f>
        <v/>
      </c>
      <c r="BB177" s="25" t="str">
        <f aca="false">IF(Tasks[[#This Row],[Task Name]]="","",Tasks[[#This Row],[Forecast Finish]])</f>
        <v/>
      </c>
      <c r="BC177" s="28" t="str">
        <f aca="false">IF(Tasks[[#This Row],[Task Name]]="","",IF(Tasks[[#This Row],[_IsSummary]],NETWORKDAYS.INTL(Tasks[[#This Row],[Forecast Start]],Tasks[[#This Row],[Forecast Finish]],WorkWeek,Holidays),N(Tasks[[#This Row],[Duration]])))</f>
        <v/>
      </c>
      <c r="BD177" s="96" t="str">
        <f aca="false">IF(Tasks[[#This Row],[Task Name]]="","",Tasks[[#This Row],[Work]])</f>
        <v/>
      </c>
      <c r="BE177" s="97" t="str">
        <f aca="false">IF(Tasks[[#This Row],[Task Name]]="","",Tasks[[#This Row],[Cost]])</f>
        <v/>
      </c>
      <c r="BF177" s="75"/>
      <c r="BG177" s="75"/>
      <c r="BH177" s="29"/>
      <c r="BI177" s="99"/>
      <c r="BJ177" s="98"/>
      <c r="BK177" s="28" t="str">
        <f aca="false">IF(OR(Tasks[[#This Row],[Task Name]]="",Tasks[[#This Row],[Baseline Duration]]=""),"",Tasks[[#This Row],[BL Source Duration]]-N(Tasks[[#This Row],[Baseline Duration]]))</f>
        <v/>
      </c>
      <c r="BL177" s="96" t="str">
        <f aca="false">IF(OR(Tasks[[#This Row],[Task Name]]="",Tasks[[#This Row],[Baseline Work]]=""),"",Tasks[[#This Row],[Work]]-N(Tasks[[#This Row],[Baseline Work]]))</f>
        <v/>
      </c>
      <c r="BM177" s="97" t="str">
        <f aca="false">IF(OR(Tasks[[#This Row],[Task Name]]="",Tasks[[#This Row],[Baseline Cost]]=""),"",Tasks[[#This Row],[Cost]]-N(Tasks[[#This Row],[Baseline Cost]]))</f>
        <v/>
      </c>
      <c r="BN177" s="97" t="str">
        <f aca="false">IF(Tasks[[#This Row],[Task Name]]="","",IF(Tasks[[#This Row],[_IsSummary]],SUM(INDEX(Tasks[_LeafBudget],Tasks[[#This Row],[_Row]]+1):INDEX(Tasks[_LeafBudget],Tasks[[#This Row],[_Row]]+Tasks[[#This Row],[_Descendants]])),Tasks[[#This Row],[_LeafBudget]]))</f>
        <v/>
      </c>
      <c r="BO177" s="97" t="str">
        <f aca="false">IF(Tasks[[#This Row],[Task Name]]="","",IF(Tasks[[#This Row],[_IsSummary]],SUM(INDEX(Tasks[_LeafPV],Tasks[[#This Row],[_Row]]+1):INDEX(Tasks[_LeafPV],Tasks[[#This Row],[_Row]]+Tasks[[#This Row],[_Descendants]])),Tasks[[#This Row],[_LeafPV]]))</f>
        <v/>
      </c>
      <c r="BP177" s="97" t="str">
        <f aca="false">IF(Tasks[[#This Row],[Task Name]]="","",IF(Tasks[[#This Row],[_IsSummary]],SUM(INDEX(Tasks[_LeafEV],Tasks[[#This Row],[_Row]]+1):INDEX(Tasks[_LeafEV],Tasks[[#This Row],[_Row]]+Tasks[[#This Row],[_Descendants]])),Tasks[[#This Row],[_LeafEV]]))</f>
        <v/>
      </c>
      <c r="BQ177" s="97" t="str">
        <f aca="false">IF(Tasks[[#This Row],[Task Name]]="","",IF(Tasks[[#This Row],[_IsSummary]],SUM(INDEX(Tasks[_LeafAC],Tasks[[#This Row],[_Row]]+1):INDEX(Tasks[_LeafAC],Tasks[[#This Row],[_Row]]+Tasks[[#This Row],[_Descendants]])),Tasks[[#This Row],[_LeafAC]]))</f>
        <v/>
      </c>
      <c r="BR177" s="41" t="str">
        <f aca="false">IF(Tasks[[#This Row],[Task Name]]="","",MAX(1,N(Tasks[[#This Row],[Level]])))</f>
        <v/>
      </c>
      <c r="BS177" s="41" t="n">
        <f aca="false">ROW()-ROW(Tasks[[#Headers],[ID]])</f>
        <v>172</v>
      </c>
      <c r="BT177" s="41" t="n">
        <f aca="false">IF(OR(Tasks[[#This Row],[Task Name]]="",Tasks[[#This Row],[_Level]]&lt;=1),0,IFERROR(LOOKUP(2,1/(Tasks[[#Headers],[_Level]]:Tasks[[#This Row],[_Level]]=Tasks[[#This Row],[_Level]]-1),ROW(Tasks[[#Headers],[_Level]]:Tasks[[#This Row],[_Level]])),0))</f>
        <v>0</v>
      </c>
      <c r="BU177" s="41" t="n">
        <f aca="false">IFERROR(N(INDEX(Tasks[_Level],Tasks[[#This Row],[_Row]]+1)),0)</f>
        <v>0</v>
      </c>
      <c r="BV177" s="100" t="b">
        <f aca="false">AND(Tasks[[#This Row],[Task Name]]&lt;&gt;"",Tasks[[#This Row],[_NextLevel]]&gt;Tasks[[#This Row],[_Level]])</f>
        <v>0</v>
      </c>
      <c r="BW177" s="41" t="n">
        <f aca="false">IF(Tasks[[#This Row],[_IsSummary]],COUNTIF(Tasks[WBS],Tasks[[#This Row],[WBS]]&amp;".*"),0)</f>
        <v>0</v>
      </c>
      <c r="BX177" s="41" t="n">
        <f aca="false">IF(AND(Tasks[[#This Row],[Task Name]]&lt;&gt;"",NOT(Tasks[[#This Row],[_IsSummary]])),1,0)</f>
        <v>0</v>
      </c>
      <c r="BY177" s="41" t="n">
        <f aca="false">IF(N(Tasks[[#This Row],[Pred1 UID]])=0,0,IFERROR(MATCH(Tasks[[#This Row],[Pred1 UID]],Tasks[UID],0),-1))</f>
        <v>0</v>
      </c>
      <c r="BZ177" s="41" t="n">
        <f aca="false">IF(N(Tasks[[#This Row],[Pred2 UID]])=0,0,IFERROR(MATCH(Tasks[[#This Row],[Pred2 UID]],Tasks[UID],0),-1))</f>
        <v>0</v>
      </c>
      <c r="CA177" s="41" t="n">
        <f aca="false">IF(N(Tasks[[#This Row],[Pred3 UID]])=0,0,IFERROR(MATCH(Tasks[[#This Row],[Pred3 UID]],Tasks[UID],0),-1))</f>
        <v>0</v>
      </c>
      <c r="CB177" s="41" t="n">
        <f aca="false">IF(N(Tasks[[#This Row],[Pred4 UID]])=0,0,IFERROR(MATCH(Tasks[[#This Row],[Pred4 UID]],Tasks[UID],0),-1))</f>
        <v>0</v>
      </c>
      <c r="CC1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7" s="101" t="n">
        <f aca="false">IF(OR(Tasks[[#This Row],[_ConstraintCode]]=2,Tasks[[#This Row],[_ConstraintCode]]=3,Tasks[[#This Row],[_ConstraintCode]]=4,Tasks[[#This Row],[_ConstraintCode]]=6),Tasks[[#This Row],[_ConstraintStart]],0)</f>
        <v>0</v>
      </c>
      <c r="CF177" s="101" t="n">
        <f aca="false">IF(OR(Tasks[[#This Row],[_ConstraintCode]]=2,Tasks[[#This Row],[_ConstraintCode]]=3,Tasks[[#This Row],[_ConstraintCode]]=5,Tasks[[#This Row],[_ConstraintCode]]=7),Tasks[[#This Row],[_ConstraintStart]],2958465)</f>
        <v>2958465</v>
      </c>
      <c r="CG17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7" s="101" t="str">
        <f aca="false">IF(NOT(Tasks[[#This Row],[_IsLeaf]]=1),"",IF(N(Tasks[[#This Row],[Duration]])&lt;=0,Tasks[[#This Row],[_LeafCalcStart]],WORKDAY.INTL(Tasks[[#This Row],[_LeafCalcStart]],Tasks[[#This Row],[Duration]]-1,WorkWeek,Holidays)))</f>
        <v/>
      </c>
      <c r="CI17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7" s="41" t="n">
        <f aca="false">IF(NOT(Tasks[[#This Row],[_IsLeaf]]=1),0,IF(N(Tasks[[#This Row],[Actual Finish]])&gt;0,1,MIN(1,N(Tasks[[#This Row],[% Complete]]))))</f>
        <v>0</v>
      </c>
      <c r="CL177" s="41" t="n">
        <f aca="false">IF(OR(NOT(Tasks[[#This Row],[_IsLeaf]]=1),Tasks[[#This Row],[Resource]]=""),0,N(Tasks[[#This Row],[Duration]])*HoursPerDay*IF(Tasks[[#This Row],[Units]]="",DefaultUnits,Tasks[[#This Row],[Units]]))</f>
        <v>0</v>
      </c>
      <c r="CM177" s="41" t="n">
        <f aca="false">IF(Tasks[[#This Row],[_LeafWork]]=0,0,Tasks[[#This Row],[_LeafWork]]*IFERROR(INDEX(res_Rate,MATCH(Tasks[[#This Row],[Resource]],res_Name,0)),0))</f>
        <v>0</v>
      </c>
      <c r="CN177" s="41" t="n">
        <f aca="false">Tasks[[#This Row],[_LeafWork]]+IF(Tasks[[#This Row],[_IsLeaf]]=1,SUMIFS(asg_Work,asg_TaskUID,Tasks[[#This Row],[UID]],asg_Valid,1),0)</f>
        <v>0</v>
      </c>
      <c r="CO177" s="41" t="n">
        <f aca="false">Tasks[[#This Row],[_LeafCost]]+IF(Tasks[[#This Row],[_IsLeaf]]=1,SUMIFS(asg_Cost,asg_TaskUID,Tasks[[#This Row],[UID]],asg_Valid,1),0)</f>
        <v>0</v>
      </c>
      <c r="CP177" s="41" t="n">
        <f aca="false">IF(Tasks[[#This Row],[_LeafTotalCost]]=0,Tasks[[#This Row],[_LeafAC]],Tasks[[#This Row],[_LeafAC]]*Tasks[[#This Row],[_LeafCost]]/Tasks[[#This Row],[_LeafTotalCost]])</f>
        <v>0</v>
      </c>
      <c r="CQ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7" s="41" t="n">
        <f aca="false">IF(NOT(Tasks[[#This Row],[_IsLeaf]]=1),0,MAX(_xlfn.MAXIFS(Tasks[_Row],Tasks[Pred1 UID],Tasks[[#This Row],[UID]]),_xlfn.MAXIFS(Tasks[_Row],Tasks[Pred2 UID],Tasks[[#This Row],[UID]]),_xlfn.MAXIFS(Tasks[_Row],Tasks[Pred3 UID],Tasks[[#This Row],[UID]]),_xlfn.MAXIFS(Tasks[_Row],Tasks[Pred4 UID],Tasks[[#This Row],[UID]])))</f>
        <v>0</v>
      </c>
      <c r="CZ1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7" s="101" t="str">
        <f aca="false">IF(NOT(Tasks[[#This Row],[_IsLeaf]]=1),"",IF(N(Tasks[[#This Row],[Duration]])&lt;=0,Tasks[[#This Row],[_LeafLateFinish]],WORKDAY.INTL(Tasks[[#This Row],[_LeafLateFinish]],-(Tasks[[#This Row],[Duration]]-1),WorkWeek,Holidays)))</f>
        <v/>
      </c>
      <c r="DC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7" s="100" t="b">
        <f aca="false">AND(Tasks[[#This Row],[_IsLeaf]]=1,Tasks[[#This Row],[_LeafProgress]]&lt;1,N(Tasks[[#This Row],[_LeafTotalSlack]])&lt;=CriticalSlackDays)</f>
        <v>0</v>
      </c>
      <c r="DE177" s="41" t="n">
        <f aca="false">IF(AND(Tasks[[#This Row],[_IsLeaf]]=1,Tasks[[#This Row],[_ConstraintCode]]=1,Tasks[[#This Row],[Mode]]&lt;&gt;"Manual",N(Tasks[[#This Row],[Actual Start]])=0),MAX(0,N(Tasks[[#This Row],[Free Slack]])),0)</f>
        <v>0</v>
      </c>
      <c r="DF177" s="101" t="str">
        <f aca="false">IF(NOT(Tasks[[#This Row],[_IsLeaf]]=1),"",IF(Tasks[[#This Row],[_AlapShift]]=0,Tasks[[#This Row],[_LeafCalcStart]],WORKDAY.INTL(Tasks[[#This Row],[_LeafCalcStart]],Tasks[[#This Row],[_AlapShift]],WorkWeek,Holidays)))</f>
        <v/>
      </c>
      <c r="DG177" s="101" t="str">
        <f aca="false">IF(NOT(Tasks[[#This Row],[_IsLeaf]]=1),"",IF(Tasks[[#This Row],[_AlapShift]]=0,Tasks[[#This Row],[_LeafCalcFinish]],WORKDAY.INTL(Tasks[[#This Row],[_LeafCalcFinish]],Tasks[[#This Row],[_AlapShift]],WorkWeek,Holidays)))</f>
        <v/>
      </c>
      <c r="DH177" s="101" t="str">
        <f aca="false">IF(NOT(Tasks[[#This Row],[_IsLeaf]]=1),"",IF(Tasks[[#This Row],[_AlapShift]]=0,Tasks[[#This Row],[_LeafFcstStart]],WORKDAY.INTL(Tasks[[#This Row],[_LeafFcstStart]],Tasks[[#This Row],[_AlapShift]],WorkWeek,Holidays)))</f>
        <v/>
      </c>
      <c r="DI177" s="101" t="str">
        <f aca="false">IF(NOT(Tasks[[#This Row],[_IsLeaf]]=1),"",IF(Tasks[[#This Row],[_AlapShift]]=0,Tasks[[#This Row],[_LeafFcstFinish]],WORKDAY.INTL(Tasks[[#This Row],[_LeafFcstFinish]],Tasks[[#This Row],[_AlapShift]],WorkWeek,Holidays)))</f>
        <v/>
      </c>
      <c r="DJ177" s="101" t="str">
        <f aca="false">IF(Tasks[[#This Row],[Task Name]]="","",IF(Tasks[[#This Row],[_IsSummary]],MIN(INDEX(Tasks[_ShownCalcStart],Tasks[[#This Row],[_Row]]+1):INDEX(Tasks[_ShownCalcStart],Tasks[[#This Row],[_Row]]+Tasks[[#This Row],[_Descendants]])),Tasks[[#This Row],[_ShownCalcStart]]))</f>
        <v/>
      </c>
      <c r="DK177" s="101" t="str">
        <f aca="false">IF(Tasks[[#This Row],[Task Name]]="","",IF(Tasks[[#This Row],[_IsSummary]],MAX(INDEX(Tasks[_ShownCalcFinish],Tasks[[#This Row],[_Row]]+1):INDEX(Tasks[_ShownCalcFinish],Tasks[[#This Row],[_Row]]+Tasks[[#This Row],[_Descendants]])),Tasks[[#This Row],[_ShownCalcFinish]]))</f>
        <v/>
      </c>
      <c r="D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7" s="41" t="n">
        <f aca="false">IF(AND(Tasks[[#This Row],[_IsLeaf]]=1,Tasks[[#This Row],[_LeafTotalWork]]&gt;0),NETWORKDAYS.INTL(ProjectStart,Tasks[[#This Row],[_ShownFcstStart]],WorkWeek,Holidays),0)</f>
        <v>0</v>
      </c>
      <c r="DY177" s="41" t="n">
        <f aca="false">IF(AND(Tasks[[#This Row],[_IsLeaf]]=1,Tasks[[#This Row],[_LeafTotalWork]]&gt;0),MAX(Tasks[[#This Row],[_StartWorkday]],NETWORKDAYS.INTL(ProjectStart,Tasks[[#This Row],[_ShownFcstFinish]],WorkWeek,Holidays)),0)</f>
        <v>0</v>
      </c>
      <c r="DZ177" s="41" t="n">
        <f aca="false">IF(AND(Tasks[[#This Row],[_IsLeaf]]=1,Tasks[[#This Row],[_LeafTotalWork]]&gt;0),Tasks[[#This Row],[_LeafWork]]/(Tasks[[#This Row],[_FinishWorkday]]-Tasks[[#This Row],[_StartWorkday]]+1),0)</f>
        <v>0</v>
      </c>
      <c r="EA177" s="41" t="n">
        <f aca="false">Tasks[[#This Row],[_WorkPerWorkday]]*(Tasks[[#This Row],[_StartWorkday]]-1)</f>
        <v>-0</v>
      </c>
      <c r="EB177" s="41" t="n">
        <f aca="false">IF(Tasks[[#This Row],[_IsLeaf]]=1,MAX(N(Tasks[[#This Row],[Duration]]),0.1),0)</f>
        <v>0</v>
      </c>
      <c r="EC177" s="41" t="n">
        <f aca="false">Tasks[[#This Row],[_WeightDur]]*Tasks[[#This Row],[_LeafProgress]]</f>
        <v>0</v>
      </c>
      <c r="ED1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7" s="41" t="str">
        <f aca="false">IF(AND(Tasks[[#This Row],[_IsLeaf]]=1,N(Tasks[[#This Row],[Duration]])=0,Tasks[[#This Row],[_LeafProgress]]&lt;1),Tasks[[#This Row],[_ShownFcstFinish]]+Tasks[[#This Row],[_Row]]/100000,"")</f>
        <v/>
      </c>
      <c r="EF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7" s="41" t="n">
        <f aca="false">IF(NOT(Tasks[[#This Row],[_IsLeaf]]=1),0,IF(Tasks[[#This Row],[Baseline Cost]]="",Tasks[[#This Row],[_LeafTotalCost]],N(Tasks[[#This Row],[Baseline Cost]])))</f>
        <v>0</v>
      </c>
      <c r="EH177" s="41" t="n">
        <f aca="false">Tasks[[#This Row],[_LeafBudget]]*Tasks[[#This Row],[_PlannedPct]]</f>
        <v>0</v>
      </c>
      <c r="EI177" s="41" t="n">
        <f aca="false">Tasks[[#This Row],[_LeafBudget]]*Tasks[[#This Row],[_LeafProgress]]</f>
        <v>0</v>
      </c>
      <c r="EJ177" s="41" t="n">
        <f aca="false">IF(NOT(Tasks[[#This Row],[_IsLeaf]]=1),0,IF(Tasks[[#This Row],[Actual Cost]]="",Tasks[[#This Row],[_LeafTotalCost]]*Tasks[[#This Row],[_LeafProgress]],N(Tasks[[#This Row],[Actual Cost]])))</f>
        <v>0</v>
      </c>
      <c r="EK177" s="41" t="str">
        <f aca="false">IF(Tasks[[#This Row],[Task Name]]="","",LEFT(Tasks[[#This Row],[WBS]],FIND(".",Tasks[[#This Row],[WBS]]&amp;".")-1))</f>
        <v/>
      </c>
      <c r="EL177" s="41" t="str">
        <f aca="false">IF(AND(Tasks[[#This Row],[Task Name]]&lt;&gt;"",Tasks[[#This Row],[_Level]]=1),Tasks[[#This Row],[_Row]],"")</f>
        <v/>
      </c>
      <c r="EM177" s="41" t="str">
        <f aca="false">IF(AND(Tasks[[#This Row],[_IsLeaf]]=1,N(Tasks[[#This Row],[Duration]])=0),Tasks[[#This Row],[Planned Finish]]+Tasks[[#This Row],[_Row]]/100000,"")</f>
        <v/>
      </c>
      <c r="EN177" s="41" t="str">
        <f aca="false">IF(AND(Tasks[[#This Row],[_IsLeaf]]=1,Tasks[[#This Row],[_LeafProgress]]&lt;1,OR(N(Tasks[[#This Row],[Finish Var]])&gt;0,Tasks[[#This Row],[Status]]="Late Start")),MAX(0,Tasks[[#This Row],[Finish Var]])+1-Tasks[[#This Row],[_Row]]/1000000,"")</f>
        <v/>
      </c>
      <c r="EO177" s="41" t="str">
        <f aca="false">IF(AND(Tasks[[#This Row],[_IsLeaf]]=1,N(Tasks[[#This Row],[Actual Start]])=0,Tasks[[#This Row],[_ShownFcstStart]]&gt;=StatusDate,Tasks[[#This Row],[_ShownFcstStart]]&lt;=LookaheadEnd),Tasks[[#This Row],[_ShownFcstStart]]+Tasks[[#This Row],[_Row]]/100000,"")</f>
        <v/>
      </c>
      <c r="EP177" s="41" t="str">
        <f aca="false">IF(AND(Tasks[[#This Row],[_IsLeaf]]=1,Tasks[[#This Row],[_LeafProgress]]&lt;1,Tasks[[#This Row],[_ShownFcstFinish]]&gt;=StatusDate,Tasks[[#This Row],[_ShownFcstFinish]]&lt;=LookaheadEnd),Tasks[[#This Row],[_ShownFcstFinish]]+Tasks[[#This Row],[_Row]]/100000,"")</f>
        <v/>
      </c>
      <c r="EQ177" s="41" t="str">
        <f aca="false">IF(Tasks[[#This Row],[_LeafCritical]],Tasks[[#This Row],[_ShownFcstStart]]+Tasks[[#This Row],[_Row]]/100000,"")</f>
        <v/>
      </c>
      <c r="ER177" s="41" t="n">
        <f aca="false">Tasks[[#This Row],[_LeafWork]]*Tasks[[#This Row],[_LeafProgress]]</f>
        <v>0</v>
      </c>
      <c r="ES177" s="101" t="str">
        <f aca="false">IF(AND(Tasks[[#This Row],[_IsLeaf]]=1,Tasks[[#This Row],[_LeafProgress]]&gt;=1),IF(N(Tasks[[#This Row],[Actual Finish]])&gt;0,Tasks[[#This Row],[Actual Finish]],Tasks[[#This Row],[_ShownFcstFinish]]),"")</f>
        <v/>
      </c>
      <c r="ET177" s="41" t="n">
        <f aca="false">IF(Tasks[[#This Row],[_IsLeaf]]=1,N(Tasks[[#This Row],[Story Points]]),0)</f>
        <v>0</v>
      </c>
      <c r="EU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29"/>
      <c r="O178" s="29"/>
      <c r="P178" s="29"/>
      <c r="Q178" s="29"/>
      <c r="R178" s="29"/>
      <c r="S178" s="29"/>
      <c r="T178" s="30"/>
      <c r="U178" s="75"/>
      <c r="V178" s="75"/>
      <c r="W178" s="25" t="str">
        <f aca="false">IF(Tasks[[#This Row],[Task Name]]="","",IF(N(Tasks[[#This Row],[Baseline Start]])&gt;0,Tasks[[#This Row],[Baseline Start]],Tasks[[#This Row],[_CalcStart]]))</f>
        <v/>
      </c>
      <c r="X178" s="25" t="str">
        <f aca="false">IF(Tasks[[#This Row],[Task Name]]="","",IF(N(Tasks[[#This Row],[Baseline Finish]])&gt;0,Tasks[[#This Row],[Baseline Finish]],Tasks[[#This Row],[_CalcFinish]]))</f>
        <v/>
      </c>
      <c r="Y178" s="75"/>
      <c r="Z178" s="75"/>
      <c r="AA178" s="25" t="str">
        <f aca="false">IF(Tasks[[#This Row],[Task Name]]="","",IF(Tasks[[#This Row],[_IsSummary]],MIN(INDEX(Tasks[_ShownFcstStart],Tasks[[#This Row],[_Row]]+1):INDEX(Tasks[_ShownFcstStart],Tasks[[#This Row],[_Row]]+Tasks[[#This Row],[_Descendants]])),Tasks[[#This Row],[_ShownFcstStart]]))</f>
        <v/>
      </c>
      <c r="AB178" s="25" t="str">
        <f aca="false">IF(Tasks[[#This Row],[Task Name]]="","",IF(Tasks[[#This Row],[_IsSummary]],MAX(INDEX(Tasks[_ShownFcstFinish],Tasks[[#This Row],[_Row]]+1):INDEX(Tasks[_ShownFcstFinish],Tasks[[#This Row],[_Row]]+Tasks[[#This Row],[_Descendants]])),Tasks[[#This Row],[_ShownFcstFinish]]))</f>
        <v/>
      </c>
      <c r="AC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8" s="25" t="str">
        <f aca="false">IF(Tasks[[#This Row],[Task Name]]="","",IF(Tasks[[#This Row],[_IsSummary]],MIN(INDEX(Tasks[_LeafLateStart],Tasks[[#This Row],[_Row]]+1):INDEX(Tasks[_LeafLateStart],Tasks[[#This Row],[_Row]]+Tasks[[#This Row],[_Descendants]])),Tasks[[#This Row],[_LeafLateStart]]))</f>
        <v/>
      </c>
      <c r="AF178" s="25" t="str">
        <f aca="false">IF(Tasks[[#This Row],[Task Name]]="","",IF(Tasks[[#This Row],[_IsSummary]],MAX(INDEX(Tasks[_LeafLateFinish],Tasks[[#This Row],[_Row]]+1):INDEX(Tasks[_LeafLateFinish],Tasks[[#This Row],[_Row]]+Tasks[[#This Row],[_Descendants]])),Tasks[[#This Row],[_LeafLateFinish]]))</f>
        <v/>
      </c>
      <c r="AG178" s="28" t="str">
        <f aca="false">IF(Tasks[[#This Row],[Task Name]]="","",IF(Tasks[[#This Row],[_IsSummary]],MIN(INDEX(Tasks[_LeafTotalSlack],Tasks[[#This Row],[_Row]]+1):INDEX(Tasks[_LeafTotalSlack],Tasks[[#This Row],[_Row]]+Tasks[[#This Row],[_Descendants]])),Tasks[[#This Row],[_LeafTotalSlack]]))</f>
        <v/>
      </c>
      <c r="AH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8" s="28" t="str">
        <f aca="false">IF(Tasks[[#This Row],[Task Name]]="","",IF(IF(Tasks[[#This Row],[_IsSummary]],COUNTIF(INDEX(Tasks[_LeafCritical],Tasks[[#This Row],[_Row]]+1):INDEX(Tasks[_LeafCritical],Tasks[[#This Row],[_Row]]+Tasks[[#This Row],[_Descendants]]),TRUE())&gt;0,Tasks[[#This Row],[_LeafCritical]]),"Yes",""))</f>
        <v/>
      </c>
      <c r="AJ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8" s="89"/>
      <c r="AM1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8" s="28" t="str">
        <f aca="false">IF(Tasks[[#This Row],[Task Name]]="","",IF(Tasks[[#This Row],[Progress]]&gt;=1,"Complete",IF(OR(N(Tasks[[#This Row],[Actual Start]])&gt;0,Tasks[[#This Row],[Progress]]&gt;0),IF(Tasks[[#This Row],[Finish Var]]&gt;0,"Behind","In Progress"),IF(Tasks[[#This Row],[Planned Start]]&lt;StatusDate,"Late Start","Not Started"))))</f>
        <v/>
      </c>
      <c r="AO178" s="30"/>
      <c r="AP178" s="89"/>
      <c r="AQ1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8" s="96" t="str">
        <f aca="false">IF(Tasks[[#This Row],[Task Name]]="","",IF(Tasks[[#This Row],[_IsSummary]],SUM(INDEX(Tasks[_LeafTotalWork],Tasks[[#This Row],[_Row]]+1):INDEX(Tasks[_LeafTotalWork],Tasks[[#This Row],[_Row]]+Tasks[[#This Row],[_Descendants]])),Tasks[[#This Row],[_LeafTotalWork]]))</f>
        <v/>
      </c>
      <c r="AT178" s="97" t="str">
        <f aca="false">IF(Tasks[[#This Row],[Task Name]]="","",IF(Tasks[[#This Row],[_IsSummary]],SUM(INDEX(Tasks[_LeafTotalCost],Tasks[[#This Row],[_Row]]+1):INDEX(Tasks[_LeafTotalCost],Tasks[[#This Row],[_Row]]+Tasks[[#This Row],[_Descendants]])),Tasks[[#This Row],[_LeafTotalCost]]))</f>
        <v/>
      </c>
      <c r="AU178" s="98"/>
      <c r="AV178" s="29"/>
      <c r="AW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8" s="83"/>
      <c r="AY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8" s="30"/>
      <c r="BA178" s="25" t="str">
        <f aca="false">IF(Tasks[[#This Row],[Task Name]]="","",Tasks[[#This Row],[Forecast Start]])</f>
        <v/>
      </c>
      <c r="BB178" s="25" t="str">
        <f aca="false">IF(Tasks[[#This Row],[Task Name]]="","",Tasks[[#This Row],[Forecast Finish]])</f>
        <v/>
      </c>
      <c r="BC178" s="28" t="str">
        <f aca="false">IF(Tasks[[#This Row],[Task Name]]="","",IF(Tasks[[#This Row],[_IsSummary]],NETWORKDAYS.INTL(Tasks[[#This Row],[Forecast Start]],Tasks[[#This Row],[Forecast Finish]],WorkWeek,Holidays),N(Tasks[[#This Row],[Duration]])))</f>
        <v/>
      </c>
      <c r="BD178" s="96" t="str">
        <f aca="false">IF(Tasks[[#This Row],[Task Name]]="","",Tasks[[#This Row],[Work]])</f>
        <v/>
      </c>
      <c r="BE178" s="97" t="str">
        <f aca="false">IF(Tasks[[#This Row],[Task Name]]="","",Tasks[[#This Row],[Cost]])</f>
        <v/>
      </c>
      <c r="BF178" s="75"/>
      <c r="BG178" s="75"/>
      <c r="BH178" s="29"/>
      <c r="BI178" s="99"/>
      <c r="BJ178" s="98"/>
      <c r="BK178" s="28" t="str">
        <f aca="false">IF(OR(Tasks[[#This Row],[Task Name]]="",Tasks[[#This Row],[Baseline Duration]]=""),"",Tasks[[#This Row],[BL Source Duration]]-N(Tasks[[#This Row],[Baseline Duration]]))</f>
        <v/>
      </c>
      <c r="BL178" s="96" t="str">
        <f aca="false">IF(OR(Tasks[[#This Row],[Task Name]]="",Tasks[[#This Row],[Baseline Work]]=""),"",Tasks[[#This Row],[Work]]-N(Tasks[[#This Row],[Baseline Work]]))</f>
        <v/>
      </c>
      <c r="BM178" s="97" t="str">
        <f aca="false">IF(OR(Tasks[[#This Row],[Task Name]]="",Tasks[[#This Row],[Baseline Cost]]=""),"",Tasks[[#This Row],[Cost]]-N(Tasks[[#This Row],[Baseline Cost]]))</f>
        <v/>
      </c>
      <c r="BN178" s="97" t="str">
        <f aca="false">IF(Tasks[[#This Row],[Task Name]]="","",IF(Tasks[[#This Row],[_IsSummary]],SUM(INDEX(Tasks[_LeafBudget],Tasks[[#This Row],[_Row]]+1):INDEX(Tasks[_LeafBudget],Tasks[[#This Row],[_Row]]+Tasks[[#This Row],[_Descendants]])),Tasks[[#This Row],[_LeafBudget]]))</f>
        <v/>
      </c>
      <c r="BO178" s="97" t="str">
        <f aca="false">IF(Tasks[[#This Row],[Task Name]]="","",IF(Tasks[[#This Row],[_IsSummary]],SUM(INDEX(Tasks[_LeafPV],Tasks[[#This Row],[_Row]]+1):INDEX(Tasks[_LeafPV],Tasks[[#This Row],[_Row]]+Tasks[[#This Row],[_Descendants]])),Tasks[[#This Row],[_LeafPV]]))</f>
        <v/>
      </c>
      <c r="BP178" s="97" t="str">
        <f aca="false">IF(Tasks[[#This Row],[Task Name]]="","",IF(Tasks[[#This Row],[_IsSummary]],SUM(INDEX(Tasks[_LeafEV],Tasks[[#This Row],[_Row]]+1):INDEX(Tasks[_LeafEV],Tasks[[#This Row],[_Row]]+Tasks[[#This Row],[_Descendants]])),Tasks[[#This Row],[_LeafEV]]))</f>
        <v/>
      </c>
      <c r="BQ178" s="97" t="str">
        <f aca="false">IF(Tasks[[#This Row],[Task Name]]="","",IF(Tasks[[#This Row],[_IsSummary]],SUM(INDEX(Tasks[_LeafAC],Tasks[[#This Row],[_Row]]+1):INDEX(Tasks[_LeafAC],Tasks[[#This Row],[_Row]]+Tasks[[#This Row],[_Descendants]])),Tasks[[#This Row],[_LeafAC]]))</f>
        <v/>
      </c>
      <c r="BR178" s="41" t="str">
        <f aca="false">IF(Tasks[[#This Row],[Task Name]]="","",MAX(1,N(Tasks[[#This Row],[Level]])))</f>
        <v/>
      </c>
      <c r="BS178" s="41" t="n">
        <f aca="false">ROW()-ROW(Tasks[[#Headers],[ID]])</f>
        <v>173</v>
      </c>
      <c r="BT178" s="41" t="n">
        <f aca="false">IF(OR(Tasks[[#This Row],[Task Name]]="",Tasks[[#This Row],[_Level]]&lt;=1),0,IFERROR(LOOKUP(2,1/(Tasks[[#Headers],[_Level]]:Tasks[[#This Row],[_Level]]=Tasks[[#This Row],[_Level]]-1),ROW(Tasks[[#Headers],[_Level]]:Tasks[[#This Row],[_Level]])),0))</f>
        <v>0</v>
      </c>
      <c r="BU178" s="41" t="n">
        <f aca="false">IFERROR(N(INDEX(Tasks[_Level],Tasks[[#This Row],[_Row]]+1)),0)</f>
        <v>0</v>
      </c>
      <c r="BV178" s="100" t="b">
        <f aca="false">AND(Tasks[[#This Row],[Task Name]]&lt;&gt;"",Tasks[[#This Row],[_NextLevel]]&gt;Tasks[[#This Row],[_Level]])</f>
        <v>0</v>
      </c>
      <c r="BW178" s="41" t="n">
        <f aca="false">IF(Tasks[[#This Row],[_IsSummary]],COUNTIF(Tasks[WBS],Tasks[[#This Row],[WBS]]&amp;".*"),0)</f>
        <v>0</v>
      </c>
      <c r="BX178" s="41" t="n">
        <f aca="false">IF(AND(Tasks[[#This Row],[Task Name]]&lt;&gt;"",NOT(Tasks[[#This Row],[_IsSummary]])),1,0)</f>
        <v>0</v>
      </c>
      <c r="BY178" s="41" t="n">
        <f aca="false">IF(N(Tasks[[#This Row],[Pred1 UID]])=0,0,IFERROR(MATCH(Tasks[[#This Row],[Pred1 UID]],Tasks[UID],0),-1))</f>
        <v>0</v>
      </c>
      <c r="BZ178" s="41" t="n">
        <f aca="false">IF(N(Tasks[[#This Row],[Pred2 UID]])=0,0,IFERROR(MATCH(Tasks[[#This Row],[Pred2 UID]],Tasks[UID],0),-1))</f>
        <v>0</v>
      </c>
      <c r="CA178" s="41" t="n">
        <f aca="false">IF(N(Tasks[[#This Row],[Pred3 UID]])=0,0,IFERROR(MATCH(Tasks[[#This Row],[Pred3 UID]],Tasks[UID],0),-1))</f>
        <v>0</v>
      </c>
      <c r="CB178" s="41" t="n">
        <f aca="false">IF(N(Tasks[[#This Row],[Pred4 UID]])=0,0,IFERROR(MATCH(Tasks[[#This Row],[Pred4 UID]],Tasks[UID],0),-1))</f>
        <v>0</v>
      </c>
      <c r="CC1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8" s="101" t="n">
        <f aca="false">IF(OR(Tasks[[#This Row],[_ConstraintCode]]=2,Tasks[[#This Row],[_ConstraintCode]]=3,Tasks[[#This Row],[_ConstraintCode]]=4,Tasks[[#This Row],[_ConstraintCode]]=6),Tasks[[#This Row],[_ConstraintStart]],0)</f>
        <v>0</v>
      </c>
      <c r="CF178" s="101" t="n">
        <f aca="false">IF(OR(Tasks[[#This Row],[_ConstraintCode]]=2,Tasks[[#This Row],[_ConstraintCode]]=3,Tasks[[#This Row],[_ConstraintCode]]=5,Tasks[[#This Row],[_ConstraintCode]]=7),Tasks[[#This Row],[_ConstraintStart]],2958465)</f>
        <v>2958465</v>
      </c>
      <c r="CG17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8" s="101" t="str">
        <f aca="false">IF(NOT(Tasks[[#This Row],[_IsLeaf]]=1),"",IF(N(Tasks[[#This Row],[Duration]])&lt;=0,Tasks[[#This Row],[_LeafCalcStart]],WORKDAY.INTL(Tasks[[#This Row],[_LeafCalcStart]],Tasks[[#This Row],[Duration]]-1,WorkWeek,Holidays)))</f>
        <v/>
      </c>
      <c r="CI17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8" s="41" t="n">
        <f aca="false">IF(NOT(Tasks[[#This Row],[_IsLeaf]]=1),0,IF(N(Tasks[[#This Row],[Actual Finish]])&gt;0,1,MIN(1,N(Tasks[[#This Row],[% Complete]]))))</f>
        <v>0</v>
      </c>
      <c r="CL178" s="41" t="n">
        <f aca="false">IF(OR(NOT(Tasks[[#This Row],[_IsLeaf]]=1),Tasks[[#This Row],[Resource]]=""),0,N(Tasks[[#This Row],[Duration]])*HoursPerDay*IF(Tasks[[#This Row],[Units]]="",DefaultUnits,Tasks[[#This Row],[Units]]))</f>
        <v>0</v>
      </c>
      <c r="CM178" s="41" t="n">
        <f aca="false">IF(Tasks[[#This Row],[_LeafWork]]=0,0,Tasks[[#This Row],[_LeafWork]]*IFERROR(INDEX(res_Rate,MATCH(Tasks[[#This Row],[Resource]],res_Name,0)),0))</f>
        <v>0</v>
      </c>
      <c r="CN178" s="41" t="n">
        <f aca="false">Tasks[[#This Row],[_LeafWork]]+IF(Tasks[[#This Row],[_IsLeaf]]=1,SUMIFS(asg_Work,asg_TaskUID,Tasks[[#This Row],[UID]],asg_Valid,1),0)</f>
        <v>0</v>
      </c>
      <c r="CO178" s="41" t="n">
        <f aca="false">Tasks[[#This Row],[_LeafCost]]+IF(Tasks[[#This Row],[_IsLeaf]]=1,SUMIFS(asg_Cost,asg_TaskUID,Tasks[[#This Row],[UID]],asg_Valid,1),0)</f>
        <v>0</v>
      </c>
      <c r="CP178" s="41" t="n">
        <f aca="false">IF(Tasks[[#This Row],[_LeafTotalCost]]=0,Tasks[[#This Row],[_LeafAC]],Tasks[[#This Row],[_LeafAC]]*Tasks[[#This Row],[_LeafCost]]/Tasks[[#This Row],[_LeafTotalCost]])</f>
        <v>0</v>
      </c>
      <c r="CQ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8" s="41" t="n">
        <f aca="false">IF(NOT(Tasks[[#This Row],[_IsLeaf]]=1),0,MAX(_xlfn.MAXIFS(Tasks[_Row],Tasks[Pred1 UID],Tasks[[#This Row],[UID]]),_xlfn.MAXIFS(Tasks[_Row],Tasks[Pred2 UID],Tasks[[#This Row],[UID]]),_xlfn.MAXIFS(Tasks[_Row],Tasks[Pred3 UID],Tasks[[#This Row],[UID]]),_xlfn.MAXIFS(Tasks[_Row],Tasks[Pred4 UID],Tasks[[#This Row],[UID]])))</f>
        <v>0</v>
      </c>
      <c r="CZ1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8" s="101" t="str">
        <f aca="false">IF(NOT(Tasks[[#This Row],[_IsLeaf]]=1),"",IF(N(Tasks[[#This Row],[Duration]])&lt;=0,Tasks[[#This Row],[_LeafLateFinish]],WORKDAY.INTL(Tasks[[#This Row],[_LeafLateFinish]],-(Tasks[[#This Row],[Duration]]-1),WorkWeek,Holidays)))</f>
        <v/>
      </c>
      <c r="DC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8" s="100" t="b">
        <f aca="false">AND(Tasks[[#This Row],[_IsLeaf]]=1,Tasks[[#This Row],[_LeafProgress]]&lt;1,N(Tasks[[#This Row],[_LeafTotalSlack]])&lt;=CriticalSlackDays)</f>
        <v>0</v>
      </c>
      <c r="DE178" s="41" t="n">
        <f aca="false">IF(AND(Tasks[[#This Row],[_IsLeaf]]=1,Tasks[[#This Row],[_ConstraintCode]]=1,Tasks[[#This Row],[Mode]]&lt;&gt;"Manual",N(Tasks[[#This Row],[Actual Start]])=0),MAX(0,N(Tasks[[#This Row],[Free Slack]])),0)</f>
        <v>0</v>
      </c>
      <c r="DF178" s="101" t="str">
        <f aca="false">IF(NOT(Tasks[[#This Row],[_IsLeaf]]=1),"",IF(Tasks[[#This Row],[_AlapShift]]=0,Tasks[[#This Row],[_LeafCalcStart]],WORKDAY.INTL(Tasks[[#This Row],[_LeafCalcStart]],Tasks[[#This Row],[_AlapShift]],WorkWeek,Holidays)))</f>
        <v/>
      </c>
      <c r="DG178" s="101" t="str">
        <f aca="false">IF(NOT(Tasks[[#This Row],[_IsLeaf]]=1),"",IF(Tasks[[#This Row],[_AlapShift]]=0,Tasks[[#This Row],[_LeafCalcFinish]],WORKDAY.INTL(Tasks[[#This Row],[_LeafCalcFinish]],Tasks[[#This Row],[_AlapShift]],WorkWeek,Holidays)))</f>
        <v/>
      </c>
      <c r="DH178" s="101" t="str">
        <f aca="false">IF(NOT(Tasks[[#This Row],[_IsLeaf]]=1),"",IF(Tasks[[#This Row],[_AlapShift]]=0,Tasks[[#This Row],[_LeafFcstStart]],WORKDAY.INTL(Tasks[[#This Row],[_LeafFcstStart]],Tasks[[#This Row],[_AlapShift]],WorkWeek,Holidays)))</f>
        <v/>
      </c>
      <c r="DI178" s="101" t="str">
        <f aca="false">IF(NOT(Tasks[[#This Row],[_IsLeaf]]=1),"",IF(Tasks[[#This Row],[_AlapShift]]=0,Tasks[[#This Row],[_LeafFcstFinish]],WORKDAY.INTL(Tasks[[#This Row],[_LeafFcstFinish]],Tasks[[#This Row],[_AlapShift]],WorkWeek,Holidays)))</f>
        <v/>
      </c>
      <c r="DJ178" s="101" t="str">
        <f aca="false">IF(Tasks[[#This Row],[Task Name]]="","",IF(Tasks[[#This Row],[_IsSummary]],MIN(INDEX(Tasks[_ShownCalcStart],Tasks[[#This Row],[_Row]]+1):INDEX(Tasks[_ShownCalcStart],Tasks[[#This Row],[_Row]]+Tasks[[#This Row],[_Descendants]])),Tasks[[#This Row],[_ShownCalcStart]]))</f>
        <v/>
      </c>
      <c r="DK178" s="101" t="str">
        <f aca="false">IF(Tasks[[#This Row],[Task Name]]="","",IF(Tasks[[#This Row],[_IsSummary]],MAX(INDEX(Tasks[_ShownCalcFinish],Tasks[[#This Row],[_Row]]+1):INDEX(Tasks[_ShownCalcFinish],Tasks[[#This Row],[_Row]]+Tasks[[#This Row],[_Descendants]])),Tasks[[#This Row],[_ShownCalcFinish]]))</f>
        <v/>
      </c>
      <c r="D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8" s="41" t="n">
        <f aca="false">IF(AND(Tasks[[#This Row],[_IsLeaf]]=1,Tasks[[#This Row],[_LeafTotalWork]]&gt;0),NETWORKDAYS.INTL(ProjectStart,Tasks[[#This Row],[_ShownFcstStart]],WorkWeek,Holidays),0)</f>
        <v>0</v>
      </c>
      <c r="DY178" s="41" t="n">
        <f aca="false">IF(AND(Tasks[[#This Row],[_IsLeaf]]=1,Tasks[[#This Row],[_LeafTotalWork]]&gt;0),MAX(Tasks[[#This Row],[_StartWorkday]],NETWORKDAYS.INTL(ProjectStart,Tasks[[#This Row],[_ShownFcstFinish]],WorkWeek,Holidays)),0)</f>
        <v>0</v>
      </c>
      <c r="DZ178" s="41" t="n">
        <f aca="false">IF(AND(Tasks[[#This Row],[_IsLeaf]]=1,Tasks[[#This Row],[_LeafTotalWork]]&gt;0),Tasks[[#This Row],[_LeafWork]]/(Tasks[[#This Row],[_FinishWorkday]]-Tasks[[#This Row],[_StartWorkday]]+1),0)</f>
        <v>0</v>
      </c>
      <c r="EA178" s="41" t="n">
        <f aca="false">Tasks[[#This Row],[_WorkPerWorkday]]*(Tasks[[#This Row],[_StartWorkday]]-1)</f>
        <v>-0</v>
      </c>
      <c r="EB178" s="41" t="n">
        <f aca="false">IF(Tasks[[#This Row],[_IsLeaf]]=1,MAX(N(Tasks[[#This Row],[Duration]]),0.1),0)</f>
        <v>0</v>
      </c>
      <c r="EC178" s="41" t="n">
        <f aca="false">Tasks[[#This Row],[_WeightDur]]*Tasks[[#This Row],[_LeafProgress]]</f>
        <v>0</v>
      </c>
      <c r="ED1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8" s="41" t="str">
        <f aca="false">IF(AND(Tasks[[#This Row],[_IsLeaf]]=1,N(Tasks[[#This Row],[Duration]])=0,Tasks[[#This Row],[_LeafProgress]]&lt;1),Tasks[[#This Row],[_ShownFcstFinish]]+Tasks[[#This Row],[_Row]]/100000,"")</f>
        <v/>
      </c>
      <c r="EF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8" s="41" t="n">
        <f aca="false">IF(NOT(Tasks[[#This Row],[_IsLeaf]]=1),0,IF(Tasks[[#This Row],[Baseline Cost]]="",Tasks[[#This Row],[_LeafTotalCost]],N(Tasks[[#This Row],[Baseline Cost]])))</f>
        <v>0</v>
      </c>
      <c r="EH178" s="41" t="n">
        <f aca="false">Tasks[[#This Row],[_LeafBudget]]*Tasks[[#This Row],[_PlannedPct]]</f>
        <v>0</v>
      </c>
      <c r="EI178" s="41" t="n">
        <f aca="false">Tasks[[#This Row],[_LeafBudget]]*Tasks[[#This Row],[_LeafProgress]]</f>
        <v>0</v>
      </c>
      <c r="EJ178" s="41" t="n">
        <f aca="false">IF(NOT(Tasks[[#This Row],[_IsLeaf]]=1),0,IF(Tasks[[#This Row],[Actual Cost]]="",Tasks[[#This Row],[_LeafTotalCost]]*Tasks[[#This Row],[_LeafProgress]],N(Tasks[[#This Row],[Actual Cost]])))</f>
        <v>0</v>
      </c>
      <c r="EK178" s="41" t="str">
        <f aca="false">IF(Tasks[[#This Row],[Task Name]]="","",LEFT(Tasks[[#This Row],[WBS]],FIND(".",Tasks[[#This Row],[WBS]]&amp;".")-1))</f>
        <v/>
      </c>
      <c r="EL178" s="41" t="str">
        <f aca="false">IF(AND(Tasks[[#This Row],[Task Name]]&lt;&gt;"",Tasks[[#This Row],[_Level]]=1),Tasks[[#This Row],[_Row]],"")</f>
        <v/>
      </c>
      <c r="EM178" s="41" t="str">
        <f aca="false">IF(AND(Tasks[[#This Row],[_IsLeaf]]=1,N(Tasks[[#This Row],[Duration]])=0),Tasks[[#This Row],[Planned Finish]]+Tasks[[#This Row],[_Row]]/100000,"")</f>
        <v/>
      </c>
      <c r="EN178" s="41" t="str">
        <f aca="false">IF(AND(Tasks[[#This Row],[_IsLeaf]]=1,Tasks[[#This Row],[_LeafProgress]]&lt;1,OR(N(Tasks[[#This Row],[Finish Var]])&gt;0,Tasks[[#This Row],[Status]]="Late Start")),MAX(0,Tasks[[#This Row],[Finish Var]])+1-Tasks[[#This Row],[_Row]]/1000000,"")</f>
        <v/>
      </c>
      <c r="EO178" s="41" t="str">
        <f aca="false">IF(AND(Tasks[[#This Row],[_IsLeaf]]=1,N(Tasks[[#This Row],[Actual Start]])=0,Tasks[[#This Row],[_ShownFcstStart]]&gt;=StatusDate,Tasks[[#This Row],[_ShownFcstStart]]&lt;=LookaheadEnd),Tasks[[#This Row],[_ShownFcstStart]]+Tasks[[#This Row],[_Row]]/100000,"")</f>
        <v/>
      </c>
      <c r="EP178" s="41" t="str">
        <f aca="false">IF(AND(Tasks[[#This Row],[_IsLeaf]]=1,Tasks[[#This Row],[_LeafProgress]]&lt;1,Tasks[[#This Row],[_ShownFcstFinish]]&gt;=StatusDate,Tasks[[#This Row],[_ShownFcstFinish]]&lt;=LookaheadEnd),Tasks[[#This Row],[_ShownFcstFinish]]+Tasks[[#This Row],[_Row]]/100000,"")</f>
        <v/>
      </c>
      <c r="EQ178" s="41" t="str">
        <f aca="false">IF(Tasks[[#This Row],[_LeafCritical]],Tasks[[#This Row],[_ShownFcstStart]]+Tasks[[#This Row],[_Row]]/100000,"")</f>
        <v/>
      </c>
      <c r="ER178" s="41" t="n">
        <f aca="false">Tasks[[#This Row],[_LeafWork]]*Tasks[[#This Row],[_LeafProgress]]</f>
        <v>0</v>
      </c>
      <c r="ES178" s="101" t="str">
        <f aca="false">IF(AND(Tasks[[#This Row],[_IsLeaf]]=1,Tasks[[#This Row],[_LeafProgress]]&gt;=1),IF(N(Tasks[[#This Row],[Actual Finish]])&gt;0,Tasks[[#This Row],[Actual Finish]],Tasks[[#This Row],[_ShownFcstFinish]]),"")</f>
        <v/>
      </c>
      <c r="ET178" s="41" t="n">
        <f aca="false">IF(Tasks[[#This Row],[_IsLeaf]]=1,N(Tasks[[#This Row],[Story Points]]),0)</f>
        <v>0</v>
      </c>
      <c r="EU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29"/>
      <c r="O179" s="29"/>
      <c r="P179" s="29"/>
      <c r="Q179" s="29"/>
      <c r="R179" s="29"/>
      <c r="S179" s="29"/>
      <c r="T179" s="30"/>
      <c r="U179" s="75"/>
      <c r="V179" s="75"/>
      <c r="W179" s="25" t="str">
        <f aca="false">IF(Tasks[[#This Row],[Task Name]]="","",IF(N(Tasks[[#This Row],[Baseline Start]])&gt;0,Tasks[[#This Row],[Baseline Start]],Tasks[[#This Row],[_CalcStart]]))</f>
        <v/>
      </c>
      <c r="X179" s="25" t="str">
        <f aca="false">IF(Tasks[[#This Row],[Task Name]]="","",IF(N(Tasks[[#This Row],[Baseline Finish]])&gt;0,Tasks[[#This Row],[Baseline Finish]],Tasks[[#This Row],[_CalcFinish]]))</f>
        <v/>
      </c>
      <c r="Y179" s="75"/>
      <c r="Z179" s="75"/>
      <c r="AA179" s="25" t="str">
        <f aca="false">IF(Tasks[[#This Row],[Task Name]]="","",IF(Tasks[[#This Row],[_IsSummary]],MIN(INDEX(Tasks[_ShownFcstStart],Tasks[[#This Row],[_Row]]+1):INDEX(Tasks[_ShownFcstStart],Tasks[[#This Row],[_Row]]+Tasks[[#This Row],[_Descendants]])),Tasks[[#This Row],[_ShownFcstStart]]))</f>
        <v/>
      </c>
      <c r="AB179" s="25" t="str">
        <f aca="false">IF(Tasks[[#This Row],[Task Name]]="","",IF(Tasks[[#This Row],[_IsSummary]],MAX(INDEX(Tasks[_ShownFcstFinish],Tasks[[#This Row],[_Row]]+1):INDEX(Tasks[_ShownFcstFinish],Tasks[[#This Row],[_Row]]+Tasks[[#This Row],[_Descendants]])),Tasks[[#This Row],[_ShownFcstFinish]]))</f>
        <v/>
      </c>
      <c r="AC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9" s="25" t="str">
        <f aca="false">IF(Tasks[[#This Row],[Task Name]]="","",IF(Tasks[[#This Row],[_IsSummary]],MIN(INDEX(Tasks[_LeafLateStart],Tasks[[#This Row],[_Row]]+1):INDEX(Tasks[_LeafLateStart],Tasks[[#This Row],[_Row]]+Tasks[[#This Row],[_Descendants]])),Tasks[[#This Row],[_LeafLateStart]]))</f>
        <v/>
      </c>
      <c r="AF179" s="25" t="str">
        <f aca="false">IF(Tasks[[#This Row],[Task Name]]="","",IF(Tasks[[#This Row],[_IsSummary]],MAX(INDEX(Tasks[_LeafLateFinish],Tasks[[#This Row],[_Row]]+1):INDEX(Tasks[_LeafLateFinish],Tasks[[#This Row],[_Row]]+Tasks[[#This Row],[_Descendants]])),Tasks[[#This Row],[_LeafLateFinish]]))</f>
        <v/>
      </c>
      <c r="AG179" s="28" t="str">
        <f aca="false">IF(Tasks[[#This Row],[Task Name]]="","",IF(Tasks[[#This Row],[_IsSummary]],MIN(INDEX(Tasks[_LeafTotalSlack],Tasks[[#This Row],[_Row]]+1):INDEX(Tasks[_LeafTotalSlack],Tasks[[#This Row],[_Row]]+Tasks[[#This Row],[_Descendants]])),Tasks[[#This Row],[_LeafTotalSlack]]))</f>
        <v/>
      </c>
      <c r="AH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9" s="28" t="str">
        <f aca="false">IF(Tasks[[#This Row],[Task Name]]="","",IF(IF(Tasks[[#This Row],[_IsSummary]],COUNTIF(INDEX(Tasks[_LeafCritical],Tasks[[#This Row],[_Row]]+1):INDEX(Tasks[_LeafCritical],Tasks[[#This Row],[_Row]]+Tasks[[#This Row],[_Descendants]]),TRUE())&gt;0,Tasks[[#This Row],[_LeafCritical]]),"Yes",""))</f>
        <v/>
      </c>
      <c r="AJ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9" s="89"/>
      <c r="AM1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9" s="28" t="str">
        <f aca="false">IF(Tasks[[#This Row],[Task Name]]="","",IF(Tasks[[#This Row],[Progress]]&gt;=1,"Complete",IF(OR(N(Tasks[[#This Row],[Actual Start]])&gt;0,Tasks[[#This Row],[Progress]]&gt;0),IF(Tasks[[#This Row],[Finish Var]]&gt;0,"Behind","In Progress"),IF(Tasks[[#This Row],[Planned Start]]&lt;StatusDate,"Late Start","Not Started"))))</f>
        <v/>
      </c>
      <c r="AO179" s="30"/>
      <c r="AP179" s="89"/>
      <c r="AQ1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9" s="96" t="str">
        <f aca="false">IF(Tasks[[#This Row],[Task Name]]="","",IF(Tasks[[#This Row],[_IsSummary]],SUM(INDEX(Tasks[_LeafTotalWork],Tasks[[#This Row],[_Row]]+1):INDEX(Tasks[_LeafTotalWork],Tasks[[#This Row],[_Row]]+Tasks[[#This Row],[_Descendants]])),Tasks[[#This Row],[_LeafTotalWork]]))</f>
        <v/>
      </c>
      <c r="AT179" s="97" t="str">
        <f aca="false">IF(Tasks[[#This Row],[Task Name]]="","",IF(Tasks[[#This Row],[_IsSummary]],SUM(INDEX(Tasks[_LeafTotalCost],Tasks[[#This Row],[_Row]]+1):INDEX(Tasks[_LeafTotalCost],Tasks[[#This Row],[_Row]]+Tasks[[#This Row],[_Descendants]])),Tasks[[#This Row],[_LeafTotalCost]]))</f>
        <v/>
      </c>
      <c r="AU179" s="98"/>
      <c r="AV179" s="29"/>
      <c r="AW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9" s="83"/>
      <c r="AY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9" s="30"/>
      <c r="BA179" s="25" t="str">
        <f aca="false">IF(Tasks[[#This Row],[Task Name]]="","",Tasks[[#This Row],[Forecast Start]])</f>
        <v/>
      </c>
      <c r="BB179" s="25" t="str">
        <f aca="false">IF(Tasks[[#This Row],[Task Name]]="","",Tasks[[#This Row],[Forecast Finish]])</f>
        <v/>
      </c>
      <c r="BC179" s="28" t="str">
        <f aca="false">IF(Tasks[[#This Row],[Task Name]]="","",IF(Tasks[[#This Row],[_IsSummary]],NETWORKDAYS.INTL(Tasks[[#This Row],[Forecast Start]],Tasks[[#This Row],[Forecast Finish]],WorkWeek,Holidays),N(Tasks[[#This Row],[Duration]])))</f>
        <v/>
      </c>
      <c r="BD179" s="96" t="str">
        <f aca="false">IF(Tasks[[#This Row],[Task Name]]="","",Tasks[[#This Row],[Work]])</f>
        <v/>
      </c>
      <c r="BE179" s="97" t="str">
        <f aca="false">IF(Tasks[[#This Row],[Task Name]]="","",Tasks[[#This Row],[Cost]])</f>
        <v/>
      </c>
      <c r="BF179" s="75"/>
      <c r="BG179" s="75"/>
      <c r="BH179" s="29"/>
      <c r="BI179" s="99"/>
      <c r="BJ179" s="98"/>
      <c r="BK179" s="28" t="str">
        <f aca="false">IF(OR(Tasks[[#This Row],[Task Name]]="",Tasks[[#This Row],[Baseline Duration]]=""),"",Tasks[[#This Row],[BL Source Duration]]-N(Tasks[[#This Row],[Baseline Duration]]))</f>
        <v/>
      </c>
      <c r="BL179" s="96" t="str">
        <f aca="false">IF(OR(Tasks[[#This Row],[Task Name]]="",Tasks[[#This Row],[Baseline Work]]=""),"",Tasks[[#This Row],[Work]]-N(Tasks[[#This Row],[Baseline Work]]))</f>
        <v/>
      </c>
      <c r="BM179" s="97" t="str">
        <f aca="false">IF(OR(Tasks[[#This Row],[Task Name]]="",Tasks[[#This Row],[Baseline Cost]]=""),"",Tasks[[#This Row],[Cost]]-N(Tasks[[#This Row],[Baseline Cost]]))</f>
        <v/>
      </c>
      <c r="BN179" s="97" t="str">
        <f aca="false">IF(Tasks[[#This Row],[Task Name]]="","",IF(Tasks[[#This Row],[_IsSummary]],SUM(INDEX(Tasks[_LeafBudget],Tasks[[#This Row],[_Row]]+1):INDEX(Tasks[_LeafBudget],Tasks[[#This Row],[_Row]]+Tasks[[#This Row],[_Descendants]])),Tasks[[#This Row],[_LeafBudget]]))</f>
        <v/>
      </c>
      <c r="BO179" s="97" t="str">
        <f aca="false">IF(Tasks[[#This Row],[Task Name]]="","",IF(Tasks[[#This Row],[_IsSummary]],SUM(INDEX(Tasks[_LeafPV],Tasks[[#This Row],[_Row]]+1):INDEX(Tasks[_LeafPV],Tasks[[#This Row],[_Row]]+Tasks[[#This Row],[_Descendants]])),Tasks[[#This Row],[_LeafPV]]))</f>
        <v/>
      </c>
      <c r="BP179" s="97" t="str">
        <f aca="false">IF(Tasks[[#This Row],[Task Name]]="","",IF(Tasks[[#This Row],[_IsSummary]],SUM(INDEX(Tasks[_LeafEV],Tasks[[#This Row],[_Row]]+1):INDEX(Tasks[_LeafEV],Tasks[[#This Row],[_Row]]+Tasks[[#This Row],[_Descendants]])),Tasks[[#This Row],[_LeafEV]]))</f>
        <v/>
      </c>
      <c r="BQ179" s="97" t="str">
        <f aca="false">IF(Tasks[[#This Row],[Task Name]]="","",IF(Tasks[[#This Row],[_IsSummary]],SUM(INDEX(Tasks[_LeafAC],Tasks[[#This Row],[_Row]]+1):INDEX(Tasks[_LeafAC],Tasks[[#This Row],[_Row]]+Tasks[[#This Row],[_Descendants]])),Tasks[[#This Row],[_LeafAC]]))</f>
        <v/>
      </c>
      <c r="BR179" s="41" t="str">
        <f aca="false">IF(Tasks[[#This Row],[Task Name]]="","",MAX(1,N(Tasks[[#This Row],[Level]])))</f>
        <v/>
      </c>
      <c r="BS179" s="41" t="n">
        <f aca="false">ROW()-ROW(Tasks[[#Headers],[ID]])</f>
        <v>174</v>
      </c>
      <c r="BT179" s="41" t="n">
        <f aca="false">IF(OR(Tasks[[#This Row],[Task Name]]="",Tasks[[#This Row],[_Level]]&lt;=1),0,IFERROR(LOOKUP(2,1/(Tasks[[#Headers],[_Level]]:Tasks[[#This Row],[_Level]]=Tasks[[#This Row],[_Level]]-1),ROW(Tasks[[#Headers],[_Level]]:Tasks[[#This Row],[_Level]])),0))</f>
        <v>0</v>
      </c>
      <c r="BU179" s="41" t="n">
        <f aca="false">IFERROR(N(INDEX(Tasks[_Level],Tasks[[#This Row],[_Row]]+1)),0)</f>
        <v>0</v>
      </c>
      <c r="BV179" s="100" t="b">
        <f aca="false">AND(Tasks[[#This Row],[Task Name]]&lt;&gt;"",Tasks[[#This Row],[_NextLevel]]&gt;Tasks[[#This Row],[_Level]])</f>
        <v>0</v>
      </c>
      <c r="BW179" s="41" t="n">
        <f aca="false">IF(Tasks[[#This Row],[_IsSummary]],COUNTIF(Tasks[WBS],Tasks[[#This Row],[WBS]]&amp;".*"),0)</f>
        <v>0</v>
      </c>
      <c r="BX179" s="41" t="n">
        <f aca="false">IF(AND(Tasks[[#This Row],[Task Name]]&lt;&gt;"",NOT(Tasks[[#This Row],[_IsSummary]])),1,0)</f>
        <v>0</v>
      </c>
      <c r="BY179" s="41" t="n">
        <f aca="false">IF(N(Tasks[[#This Row],[Pred1 UID]])=0,0,IFERROR(MATCH(Tasks[[#This Row],[Pred1 UID]],Tasks[UID],0),-1))</f>
        <v>0</v>
      </c>
      <c r="BZ179" s="41" t="n">
        <f aca="false">IF(N(Tasks[[#This Row],[Pred2 UID]])=0,0,IFERROR(MATCH(Tasks[[#This Row],[Pred2 UID]],Tasks[UID],0),-1))</f>
        <v>0</v>
      </c>
      <c r="CA179" s="41" t="n">
        <f aca="false">IF(N(Tasks[[#This Row],[Pred3 UID]])=0,0,IFERROR(MATCH(Tasks[[#This Row],[Pred3 UID]],Tasks[UID],0),-1))</f>
        <v>0</v>
      </c>
      <c r="CB179" s="41" t="n">
        <f aca="false">IF(N(Tasks[[#This Row],[Pred4 UID]])=0,0,IFERROR(MATCH(Tasks[[#This Row],[Pred4 UID]],Tasks[UID],0),-1))</f>
        <v>0</v>
      </c>
      <c r="CC1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9" s="101" t="n">
        <f aca="false">IF(OR(Tasks[[#This Row],[_ConstraintCode]]=2,Tasks[[#This Row],[_ConstraintCode]]=3,Tasks[[#This Row],[_ConstraintCode]]=4,Tasks[[#This Row],[_ConstraintCode]]=6),Tasks[[#This Row],[_ConstraintStart]],0)</f>
        <v>0</v>
      </c>
      <c r="CF179" s="101" t="n">
        <f aca="false">IF(OR(Tasks[[#This Row],[_ConstraintCode]]=2,Tasks[[#This Row],[_ConstraintCode]]=3,Tasks[[#This Row],[_ConstraintCode]]=5,Tasks[[#This Row],[_ConstraintCode]]=7),Tasks[[#This Row],[_ConstraintStart]],2958465)</f>
        <v>2958465</v>
      </c>
      <c r="CG17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9" s="101" t="str">
        <f aca="false">IF(NOT(Tasks[[#This Row],[_IsLeaf]]=1),"",IF(N(Tasks[[#This Row],[Duration]])&lt;=0,Tasks[[#This Row],[_LeafCalcStart]],WORKDAY.INTL(Tasks[[#This Row],[_LeafCalcStart]],Tasks[[#This Row],[Duration]]-1,WorkWeek,Holidays)))</f>
        <v/>
      </c>
      <c r="CI17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9" s="41" t="n">
        <f aca="false">IF(NOT(Tasks[[#This Row],[_IsLeaf]]=1),0,IF(N(Tasks[[#This Row],[Actual Finish]])&gt;0,1,MIN(1,N(Tasks[[#This Row],[% Complete]]))))</f>
        <v>0</v>
      </c>
      <c r="CL179" s="41" t="n">
        <f aca="false">IF(OR(NOT(Tasks[[#This Row],[_IsLeaf]]=1),Tasks[[#This Row],[Resource]]=""),0,N(Tasks[[#This Row],[Duration]])*HoursPerDay*IF(Tasks[[#This Row],[Units]]="",DefaultUnits,Tasks[[#This Row],[Units]]))</f>
        <v>0</v>
      </c>
      <c r="CM179" s="41" t="n">
        <f aca="false">IF(Tasks[[#This Row],[_LeafWork]]=0,0,Tasks[[#This Row],[_LeafWork]]*IFERROR(INDEX(res_Rate,MATCH(Tasks[[#This Row],[Resource]],res_Name,0)),0))</f>
        <v>0</v>
      </c>
      <c r="CN179" s="41" t="n">
        <f aca="false">Tasks[[#This Row],[_LeafWork]]+IF(Tasks[[#This Row],[_IsLeaf]]=1,SUMIFS(asg_Work,asg_TaskUID,Tasks[[#This Row],[UID]],asg_Valid,1),0)</f>
        <v>0</v>
      </c>
      <c r="CO179" s="41" t="n">
        <f aca="false">Tasks[[#This Row],[_LeafCost]]+IF(Tasks[[#This Row],[_IsLeaf]]=1,SUMIFS(asg_Cost,asg_TaskUID,Tasks[[#This Row],[UID]],asg_Valid,1),0)</f>
        <v>0</v>
      </c>
      <c r="CP179" s="41" t="n">
        <f aca="false">IF(Tasks[[#This Row],[_LeafTotalCost]]=0,Tasks[[#This Row],[_LeafAC]],Tasks[[#This Row],[_LeafAC]]*Tasks[[#This Row],[_LeafCost]]/Tasks[[#This Row],[_LeafTotalCost]])</f>
        <v>0</v>
      </c>
      <c r="CQ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9" s="41" t="n">
        <f aca="false">IF(NOT(Tasks[[#This Row],[_IsLeaf]]=1),0,MAX(_xlfn.MAXIFS(Tasks[_Row],Tasks[Pred1 UID],Tasks[[#This Row],[UID]]),_xlfn.MAXIFS(Tasks[_Row],Tasks[Pred2 UID],Tasks[[#This Row],[UID]]),_xlfn.MAXIFS(Tasks[_Row],Tasks[Pred3 UID],Tasks[[#This Row],[UID]]),_xlfn.MAXIFS(Tasks[_Row],Tasks[Pred4 UID],Tasks[[#This Row],[UID]])))</f>
        <v>0</v>
      </c>
      <c r="CZ1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9" s="101" t="str">
        <f aca="false">IF(NOT(Tasks[[#This Row],[_IsLeaf]]=1),"",IF(N(Tasks[[#This Row],[Duration]])&lt;=0,Tasks[[#This Row],[_LeafLateFinish]],WORKDAY.INTL(Tasks[[#This Row],[_LeafLateFinish]],-(Tasks[[#This Row],[Duration]]-1),WorkWeek,Holidays)))</f>
        <v/>
      </c>
      <c r="DC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9" s="100" t="b">
        <f aca="false">AND(Tasks[[#This Row],[_IsLeaf]]=1,Tasks[[#This Row],[_LeafProgress]]&lt;1,N(Tasks[[#This Row],[_LeafTotalSlack]])&lt;=CriticalSlackDays)</f>
        <v>0</v>
      </c>
      <c r="DE179" s="41" t="n">
        <f aca="false">IF(AND(Tasks[[#This Row],[_IsLeaf]]=1,Tasks[[#This Row],[_ConstraintCode]]=1,Tasks[[#This Row],[Mode]]&lt;&gt;"Manual",N(Tasks[[#This Row],[Actual Start]])=0),MAX(0,N(Tasks[[#This Row],[Free Slack]])),0)</f>
        <v>0</v>
      </c>
      <c r="DF179" s="101" t="str">
        <f aca="false">IF(NOT(Tasks[[#This Row],[_IsLeaf]]=1),"",IF(Tasks[[#This Row],[_AlapShift]]=0,Tasks[[#This Row],[_LeafCalcStart]],WORKDAY.INTL(Tasks[[#This Row],[_LeafCalcStart]],Tasks[[#This Row],[_AlapShift]],WorkWeek,Holidays)))</f>
        <v/>
      </c>
      <c r="DG179" s="101" t="str">
        <f aca="false">IF(NOT(Tasks[[#This Row],[_IsLeaf]]=1),"",IF(Tasks[[#This Row],[_AlapShift]]=0,Tasks[[#This Row],[_LeafCalcFinish]],WORKDAY.INTL(Tasks[[#This Row],[_LeafCalcFinish]],Tasks[[#This Row],[_AlapShift]],WorkWeek,Holidays)))</f>
        <v/>
      </c>
      <c r="DH179" s="101" t="str">
        <f aca="false">IF(NOT(Tasks[[#This Row],[_IsLeaf]]=1),"",IF(Tasks[[#This Row],[_AlapShift]]=0,Tasks[[#This Row],[_LeafFcstStart]],WORKDAY.INTL(Tasks[[#This Row],[_LeafFcstStart]],Tasks[[#This Row],[_AlapShift]],WorkWeek,Holidays)))</f>
        <v/>
      </c>
      <c r="DI179" s="101" t="str">
        <f aca="false">IF(NOT(Tasks[[#This Row],[_IsLeaf]]=1),"",IF(Tasks[[#This Row],[_AlapShift]]=0,Tasks[[#This Row],[_LeafFcstFinish]],WORKDAY.INTL(Tasks[[#This Row],[_LeafFcstFinish]],Tasks[[#This Row],[_AlapShift]],WorkWeek,Holidays)))</f>
        <v/>
      </c>
      <c r="DJ179" s="101" t="str">
        <f aca="false">IF(Tasks[[#This Row],[Task Name]]="","",IF(Tasks[[#This Row],[_IsSummary]],MIN(INDEX(Tasks[_ShownCalcStart],Tasks[[#This Row],[_Row]]+1):INDEX(Tasks[_ShownCalcStart],Tasks[[#This Row],[_Row]]+Tasks[[#This Row],[_Descendants]])),Tasks[[#This Row],[_ShownCalcStart]]))</f>
        <v/>
      </c>
      <c r="DK179" s="101" t="str">
        <f aca="false">IF(Tasks[[#This Row],[Task Name]]="","",IF(Tasks[[#This Row],[_IsSummary]],MAX(INDEX(Tasks[_ShownCalcFinish],Tasks[[#This Row],[_Row]]+1):INDEX(Tasks[_ShownCalcFinish],Tasks[[#This Row],[_Row]]+Tasks[[#This Row],[_Descendants]])),Tasks[[#This Row],[_ShownCalcFinish]]))</f>
        <v/>
      </c>
      <c r="D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9" s="41" t="n">
        <f aca="false">IF(AND(Tasks[[#This Row],[_IsLeaf]]=1,Tasks[[#This Row],[_LeafTotalWork]]&gt;0),NETWORKDAYS.INTL(ProjectStart,Tasks[[#This Row],[_ShownFcstStart]],WorkWeek,Holidays),0)</f>
        <v>0</v>
      </c>
      <c r="DY179" s="41" t="n">
        <f aca="false">IF(AND(Tasks[[#This Row],[_IsLeaf]]=1,Tasks[[#This Row],[_LeafTotalWork]]&gt;0),MAX(Tasks[[#This Row],[_StartWorkday]],NETWORKDAYS.INTL(ProjectStart,Tasks[[#This Row],[_ShownFcstFinish]],WorkWeek,Holidays)),0)</f>
        <v>0</v>
      </c>
      <c r="DZ179" s="41" t="n">
        <f aca="false">IF(AND(Tasks[[#This Row],[_IsLeaf]]=1,Tasks[[#This Row],[_LeafTotalWork]]&gt;0),Tasks[[#This Row],[_LeafWork]]/(Tasks[[#This Row],[_FinishWorkday]]-Tasks[[#This Row],[_StartWorkday]]+1),0)</f>
        <v>0</v>
      </c>
      <c r="EA179" s="41" t="n">
        <f aca="false">Tasks[[#This Row],[_WorkPerWorkday]]*(Tasks[[#This Row],[_StartWorkday]]-1)</f>
        <v>-0</v>
      </c>
      <c r="EB179" s="41" t="n">
        <f aca="false">IF(Tasks[[#This Row],[_IsLeaf]]=1,MAX(N(Tasks[[#This Row],[Duration]]),0.1),0)</f>
        <v>0</v>
      </c>
      <c r="EC179" s="41" t="n">
        <f aca="false">Tasks[[#This Row],[_WeightDur]]*Tasks[[#This Row],[_LeafProgress]]</f>
        <v>0</v>
      </c>
      <c r="ED1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9" s="41" t="str">
        <f aca="false">IF(AND(Tasks[[#This Row],[_IsLeaf]]=1,N(Tasks[[#This Row],[Duration]])=0,Tasks[[#This Row],[_LeafProgress]]&lt;1),Tasks[[#This Row],[_ShownFcstFinish]]+Tasks[[#This Row],[_Row]]/100000,"")</f>
        <v/>
      </c>
      <c r="EF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9" s="41" t="n">
        <f aca="false">IF(NOT(Tasks[[#This Row],[_IsLeaf]]=1),0,IF(Tasks[[#This Row],[Baseline Cost]]="",Tasks[[#This Row],[_LeafTotalCost]],N(Tasks[[#This Row],[Baseline Cost]])))</f>
        <v>0</v>
      </c>
      <c r="EH179" s="41" t="n">
        <f aca="false">Tasks[[#This Row],[_LeafBudget]]*Tasks[[#This Row],[_PlannedPct]]</f>
        <v>0</v>
      </c>
      <c r="EI179" s="41" t="n">
        <f aca="false">Tasks[[#This Row],[_LeafBudget]]*Tasks[[#This Row],[_LeafProgress]]</f>
        <v>0</v>
      </c>
      <c r="EJ179" s="41" t="n">
        <f aca="false">IF(NOT(Tasks[[#This Row],[_IsLeaf]]=1),0,IF(Tasks[[#This Row],[Actual Cost]]="",Tasks[[#This Row],[_LeafTotalCost]]*Tasks[[#This Row],[_LeafProgress]],N(Tasks[[#This Row],[Actual Cost]])))</f>
        <v>0</v>
      </c>
      <c r="EK179" s="41" t="str">
        <f aca="false">IF(Tasks[[#This Row],[Task Name]]="","",LEFT(Tasks[[#This Row],[WBS]],FIND(".",Tasks[[#This Row],[WBS]]&amp;".")-1))</f>
        <v/>
      </c>
      <c r="EL179" s="41" t="str">
        <f aca="false">IF(AND(Tasks[[#This Row],[Task Name]]&lt;&gt;"",Tasks[[#This Row],[_Level]]=1),Tasks[[#This Row],[_Row]],"")</f>
        <v/>
      </c>
      <c r="EM179" s="41" t="str">
        <f aca="false">IF(AND(Tasks[[#This Row],[_IsLeaf]]=1,N(Tasks[[#This Row],[Duration]])=0),Tasks[[#This Row],[Planned Finish]]+Tasks[[#This Row],[_Row]]/100000,"")</f>
        <v/>
      </c>
      <c r="EN179" s="41" t="str">
        <f aca="false">IF(AND(Tasks[[#This Row],[_IsLeaf]]=1,Tasks[[#This Row],[_LeafProgress]]&lt;1,OR(N(Tasks[[#This Row],[Finish Var]])&gt;0,Tasks[[#This Row],[Status]]="Late Start")),MAX(0,Tasks[[#This Row],[Finish Var]])+1-Tasks[[#This Row],[_Row]]/1000000,"")</f>
        <v/>
      </c>
      <c r="EO179" s="41" t="str">
        <f aca="false">IF(AND(Tasks[[#This Row],[_IsLeaf]]=1,N(Tasks[[#This Row],[Actual Start]])=0,Tasks[[#This Row],[_ShownFcstStart]]&gt;=StatusDate,Tasks[[#This Row],[_ShownFcstStart]]&lt;=LookaheadEnd),Tasks[[#This Row],[_ShownFcstStart]]+Tasks[[#This Row],[_Row]]/100000,"")</f>
        <v/>
      </c>
      <c r="EP179" s="41" t="str">
        <f aca="false">IF(AND(Tasks[[#This Row],[_IsLeaf]]=1,Tasks[[#This Row],[_LeafProgress]]&lt;1,Tasks[[#This Row],[_ShownFcstFinish]]&gt;=StatusDate,Tasks[[#This Row],[_ShownFcstFinish]]&lt;=LookaheadEnd),Tasks[[#This Row],[_ShownFcstFinish]]+Tasks[[#This Row],[_Row]]/100000,"")</f>
        <v/>
      </c>
      <c r="EQ179" s="41" t="str">
        <f aca="false">IF(Tasks[[#This Row],[_LeafCritical]],Tasks[[#This Row],[_ShownFcstStart]]+Tasks[[#This Row],[_Row]]/100000,"")</f>
        <v/>
      </c>
      <c r="ER179" s="41" t="n">
        <f aca="false">Tasks[[#This Row],[_LeafWork]]*Tasks[[#This Row],[_LeafProgress]]</f>
        <v>0</v>
      </c>
      <c r="ES179" s="101" t="str">
        <f aca="false">IF(AND(Tasks[[#This Row],[_IsLeaf]]=1,Tasks[[#This Row],[_LeafProgress]]&gt;=1),IF(N(Tasks[[#This Row],[Actual Finish]])&gt;0,Tasks[[#This Row],[Actual Finish]],Tasks[[#This Row],[_ShownFcstFinish]]),"")</f>
        <v/>
      </c>
      <c r="ET179" s="41" t="n">
        <f aca="false">IF(Tasks[[#This Row],[_IsLeaf]]=1,N(Tasks[[#This Row],[Story Points]]),0)</f>
        <v>0</v>
      </c>
      <c r="EU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29"/>
      <c r="O180" s="29"/>
      <c r="P180" s="29"/>
      <c r="Q180" s="29"/>
      <c r="R180" s="29"/>
      <c r="S180" s="29"/>
      <c r="T180" s="30"/>
      <c r="U180" s="75"/>
      <c r="V180" s="75"/>
      <c r="W180" s="25" t="str">
        <f aca="false">IF(Tasks[[#This Row],[Task Name]]="","",IF(N(Tasks[[#This Row],[Baseline Start]])&gt;0,Tasks[[#This Row],[Baseline Start]],Tasks[[#This Row],[_CalcStart]]))</f>
        <v/>
      </c>
      <c r="X180" s="25" t="str">
        <f aca="false">IF(Tasks[[#This Row],[Task Name]]="","",IF(N(Tasks[[#This Row],[Baseline Finish]])&gt;0,Tasks[[#This Row],[Baseline Finish]],Tasks[[#This Row],[_CalcFinish]]))</f>
        <v/>
      </c>
      <c r="Y180" s="75"/>
      <c r="Z180" s="75"/>
      <c r="AA180" s="25" t="str">
        <f aca="false">IF(Tasks[[#This Row],[Task Name]]="","",IF(Tasks[[#This Row],[_IsSummary]],MIN(INDEX(Tasks[_ShownFcstStart],Tasks[[#This Row],[_Row]]+1):INDEX(Tasks[_ShownFcstStart],Tasks[[#This Row],[_Row]]+Tasks[[#This Row],[_Descendants]])),Tasks[[#This Row],[_ShownFcstStart]]))</f>
        <v/>
      </c>
      <c r="AB180" s="25" t="str">
        <f aca="false">IF(Tasks[[#This Row],[Task Name]]="","",IF(Tasks[[#This Row],[_IsSummary]],MAX(INDEX(Tasks[_ShownFcstFinish],Tasks[[#This Row],[_Row]]+1):INDEX(Tasks[_ShownFcstFinish],Tasks[[#This Row],[_Row]]+Tasks[[#This Row],[_Descendants]])),Tasks[[#This Row],[_ShownFcstFinish]]))</f>
        <v/>
      </c>
      <c r="AC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0" s="25" t="str">
        <f aca="false">IF(Tasks[[#This Row],[Task Name]]="","",IF(Tasks[[#This Row],[_IsSummary]],MIN(INDEX(Tasks[_LeafLateStart],Tasks[[#This Row],[_Row]]+1):INDEX(Tasks[_LeafLateStart],Tasks[[#This Row],[_Row]]+Tasks[[#This Row],[_Descendants]])),Tasks[[#This Row],[_LeafLateStart]]))</f>
        <v/>
      </c>
      <c r="AF180" s="25" t="str">
        <f aca="false">IF(Tasks[[#This Row],[Task Name]]="","",IF(Tasks[[#This Row],[_IsSummary]],MAX(INDEX(Tasks[_LeafLateFinish],Tasks[[#This Row],[_Row]]+1):INDEX(Tasks[_LeafLateFinish],Tasks[[#This Row],[_Row]]+Tasks[[#This Row],[_Descendants]])),Tasks[[#This Row],[_LeafLateFinish]]))</f>
        <v/>
      </c>
      <c r="AG180" s="28" t="str">
        <f aca="false">IF(Tasks[[#This Row],[Task Name]]="","",IF(Tasks[[#This Row],[_IsSummary]],MIN(INDEX(Tasks[_LeafTotalSlack],Tasks[[#This Row],[_Row]]+1):INDEX(Tasks[_LeafTotalSlack],Tasks[[#This Row],[_Row]]+Tasks[[#This Row],[_Descendants]])),Tasks[[#This Row],[_LeafTotalSlack]]))</f>
        <v/>
      </c>
      <c r="AH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0" s="28" t="str">
        <f aca="false">IF(Tasks[[#This Row],[Task Name]]="","",IF(IF(Tasks[[#This Row],[_IsSummary]],COUNTIF(INDEX(Tasks[_LeafCritical],Tasks[[#This Row],[_Row]]+1):INDEX(Tasks[_LeafCritical],Tasks[[#This Row],[_Row]]+Tasks[[#This Row],[_Descendants]]),TRUE())&gt;0,Tasks[[#This Row],[_LeafCritical]]),"Yes",""))</f>
        <v/>
      </c>
      <c r="AJ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0" s="89"/>
      <c r="AM1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0" s="28" t="str">
        <f aca="false">IF(Tasks[[#This Row],[Task Name]]="","",IF(Tasks[[#This Row],[Progress]]&gt;=1,"Complete",IF(OR(N(Tasks[[#This Row],[Actual Start]])&gt;0,Tasks[[#This Row],[Progress]]&gt;0),IF(Tasks[[#This Row],[Finish Var]]&gt;0,"Behind","In Progress"),IF(Tasks[[#This Row],[Planned Start]]&lt;StatusDate,"Late Start","Not Started"))))</f>
        <v/>
      </c>
      <c r="AO180" s="30"/>
      <c r="AP180" s="89"/>
      <c r="AQ1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0" s="96" t="str">
        <f aca="false">IF(Tasks[[#This Row],[Task Name]]="","",IF(Tasks[[#This Row],[_IsSummary]],SUM(INDEX(Tasks[_LeafTotalWork],Tasks[[#This Row],[_Row]]+1):INDEX(Tasks[_LeafTotalWork],Tasks[[#This Row],[_Row]]+Tasks[[#This Row],[_Descendants]])),Tasks[[#This Row],[_LeafTotalWork]]))</f>
        <v/>
      </c>
      <c r="AT180" s="97" t="str">
        <f aca="false">IF(Tasks[[#This Row],[Task Name]]="","",IF(Tasks[[#This Row],[_IsSummary]],SUM(INDEX(Tasks[_LeafTotalCost],Tasks[[#This Row],[_Row]]+1):INDEX(Tasks[_LeafTotalCost],Tasks[[#This Row],[_Row]]+Tasks[[#This Row],[_Descendants]])),Tasks[[#This Row],[_LeafTotalCost]]))</f>
        <v/>
      </c>
      <c r="AU180" s="98"/>
      <c r="AV180" s="29"/>
      <c r="AW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0" s="83"/>
      <c r="AY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0" s="30"/>
      <c r="BA180" s="25" t="str">
        <f aca="false">IF(Tasks[[#This Row],[Task Name]]="","",Tasks[[#This Row],[Forecast Start]])</f>
        <v/>
      </c>
      <c r="BB180" s="25" t="str">
        <f aca="false">IF(Tasks[[#This Row],[Task Name]]="","",Tasks[[#This Row],[Forecast Finish]])</f>
        <v/>
      </c>
      <c r="BC180" s="28" t="str">
        <f aca="false">IF(Tasks[[#This Row],[Task Name]]="","",IF(Tasks[[#This Row],[_IsSummary]],NETWORKDAYS.INTL(Tasks[[#This Row],[Forecast Start]],Tasks[[#This Row],[Forecast Finish]],WorkWeek,Holidays),N(Tasks[[#This Row],[Duration]])))</f>
        <v/>
      </c>
      <c r="BD180" s="96" t="str">
        <f aca="false">IF(Tasks[[#This Row],[Task Name]]="","",Tasks[[#This Row],[Work]])</f>
        <v/>
      </c>
      <c r="BE180" s="97" t="str">
        <f aca="false">IF(Tasks[[#This Row],[Task Name]]="","",Tasks[[#This Row],[Cost]])</f>
        <v/>
      </c>
      <c r="BF180" s="75"/>
      <c r="BG180" s="75"/>
      <c r="BH180" s="29"/>
      <c r="BI180" s="99"/>
      <c r="BJ180" s="98"/>
      <c r="BK180" s="28" t="str">
        <f aca="false">IF(OR(Tasks[[#This Row],[Task Name]]="",Tasks[[#This Row],[Baseline Duration]]=""),"",Tasks[[#This Row],[BL Source Duration]]-N(Tasks[[#This Row],[Baseline Duration]]))</f>
        <v/>
      </c>
      <c r="BL180" s="96" t="str">
        <f aca="false">IF(OR(Tasks[[#This Row],[Task Name]]="",Tasks[[#This Row],[Baseline Work]]=""),"",Tasks[[#This Row],[Work]]-N(Tasks[[#This Row],[Baseline Work]]))</f>
        <v/>
      </c>
      <c r="BM180" s="97" t="str">
        <f aca="false">IF(OR(Tasks[[#This Row],[Task Name]]="",Tasks[[#This Row],[Baseline Cost]]=""),"",Tasks[[#This Row],[Cost]]-N(Tasks[[#This Row],[Baseline Cost]]))</f>
        <v/>
      </c>
      <c r="BN180" s="97" t="str">
        <f aca="false">IF(Tasks[[#This Row],[Task Name]]="","",IF(Tasks[[#This Row],[_IsSummary]],SUM(INDEX(Tasks[_LeafBudget],Tasks[[#This Row],[_Row]]+1):INDEX(Tasks[_LeafBudget],Tasks[[#This Row],[_Row]]+Tasks[[#This Row],[_Descendants]])),Tasks[[#This Row],[_LeafBudget]]))</f>
        <v/>
      </c>
      <c r="BO180" s="97" t="str">
        <f aca="false">IF(Tasks[[#This Row],[Task Name]]="","",IF(Tasks[[#This Row],[_IsSummary]],SUM(INDEX(Tasks[_LeafPV],Tasks[[#This Row],[_Row]]+1):INDEX(Tasks[_LeafPV],Tasks[[#This Row],[_Row]]+Tasks[[#This Row],[_Descendants]])),Tasks[[#This Row],[_LeafPV]]))</f>
        <v/>
      </c>
      <c r="BP180" s="97" t="str">
        <f aca="false">IF(Tasks[[#This Row],[Task Name]]="","",IF(Tasks[[#This Row],[_IsSummary]],SUM(INDEX(Tasks[_LeafEV],Tasks[[#This Row],[_Row]]+1):INDEX(Tasks[_LeafEV],Tasks[[#This Row],[_Row]]+Tasks[[#This Row],[_Descendants]])),Tasks[[#This Row],[_LeafEV]]))</f>
        <v/>
      </c>
      <c r="BQ180" s="97" t="str">
        <f aca="false">IF(Tasks[[#This Row],[Task Name]]="","",IF(Tasks[[#This Row],[_IsSummary]],SUM(INDEX(Tasks[_LeafAC],Tasks[[#This Row],[_Row]]+1):INDEX(Tasks[_LeafAC],Tasks[[#This Row],[_Row]]+Tasks[[#This Row],[_Descendants]])),Tasks[[#This Row],[_LeafAC]]))</f>
        <v/>
      </c>
      <c r="BR180" s="41" t="str">
        <f aca="false">IF(Tasks[[#This Row],[Task Name]]="","",MAX(1,N(Tasks[[#This Row],[Level]])))</f>
        <v/>
      </c>
      <c r="BS180" s="41" t="n">
        <f aca="false">ROW()-ROW(Tasks[[#Headers],[ID]])</f>
        <v>175</v>
      </c>
      <c r="BT180" s="41" t="n">
        <f aca="false">IF(OR(Tasks[[#This Row],[Task Name]]="",Tasks[[#This Row],[_Level]]&lt;=1),0,IFERROR(LOOKUP(2,1/(Tasks[[#Headers],[_Level]]:Tasks[[#This Row],[_Level]]=Tasks[[#This Row],[_Level]]-1),ROW(Tasks[[#Headers],[_Level]]:Tasks[[#This Row],[_Level]])),0))</f>
        <v>0</v>
      </c>
      <c r="BU180" s="41" t="n">
        <f aca="false">IFERROR(N(INDEX(Tasks[_Level],Tasks[[#This Row],[_Row]]+1)),0)</f>
        <v>0</v>
      </c>
      <c r="BV180" s="100" t="b">
        <f aca="false">AND(Tasks[[#This Row],[Task Name]]&lt;&gt;"",Tasks[[#This Row],[_NextLevel]]&gt;Tasks[[#This Row],[_Level]])</f>
        <v>0</v>
      </c>
      <c r="BW180" s="41" t="n">
        <f aca="false">IF(Tasks[[#This Row],[_IsSummary]],COUNTIF(Tasks[WBS],Tasks[[#This Row],[WBS]]&amp;".*"),0)</f>
        <v>0</v>
      </c>
      <c r="BX180" s="41" t="n">
        <f aca="false">IF(AND(Tasks[[#This Row],[Task Name]]&lt;&gt;"",NOT(Tasks[[#This Row],[_IsSummary]])),1,0)</f>
        <v>0</v>
      </c>
      <c r="BY180" s="41" t="n">
        <f aca="false">IF(N(Tasks[[#This Row],[Pred1 UID]])=0,0,IFERROR(MATCH(Tasks[[#This Row],[Pred1 UID]],Tasks[UID],0),-1))</f>
        <v>0</v>
      </c>
      <c r="BZ180" s="41" t="n">
        <f aca="false">IF(N(Tasks[[#This Row],[Pred2 UID]])=0,0,IFERROR(MATCH(Tasks[[#This Row],[Pred2 UID]],Tasks[UID],0),-1))</f>
        <v>0</v>
      </c>
      <c r="CA180" s="41" t="n">
        <f aca="false">IF(N(Tasks[[#This Row],[Pred3 UID]])=0,0,IFERROR(MATCH(Tasks[[#This Row],[Pred3 UID]],Tasks[UID],0),-1))</f>
        <v>0</v>
      </c>
      <c r="CB180" s="41" t="n">
        <f aca="false">IF(N(Tasks[[#This Row],[Pred4 UID]])=0,0,IFERROR(MATCH(Tasks[[#This Row],[Pred4 UID]],Tasks[UID],0),-1))</f>
        <v>0</v>
      </c>
      <c r="CC1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0" s="101" t="n">
        <f aca="false">IF(OR(Tasks[[#This Row],[_ConstraintCode]]=2,Tasks[[#This Row],[_ConstraintCode]]=3,Tasks[[#This Row],[_ConstraintCode]]=4,Tasks[[#This Row],[_ConstraintCode]]=6),Tasks[[#This Row],[_ConstraintStart]],0)</f>
        <v>0</v>
      </c>
      <c r="CF180" s="101" t="n">
        <f aca="false">IF(OR(Tasks[[#This Row],[_ConstraintCode]]=2,Tasks[[#This Row],[_ConstraintCode]]=3,Tasks[[#This Row],[_ConstraintCode]]=5,Tasks[[#This Row],[_ConstraintCode]]=7),Tasks[[#This Row],[_ConstraintStart]],2958465)</f>
        <v>2958465</v>
      </c>
      <c r="CG18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0" s="101" t="str">
        <f aca="false">IF(NOT(Tasks[[#This Row],[_IsLeaf]]=1),"",IF(N(Tasks[[#This Row],[Duration]])&lt;=0,Tasks[[#This Row],[_LeafCalcStart]],WORKDAY.INTL(Tasks[[#This Row],[_LeafCalcStart]],Tasks[[#This Row],[Duration]]-1,WorkWeek,Holidays)))</f>
        <v/>
      </c>
      <c r="CI18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0" s="41" t="n">
        <f aca="false">IF(NOT(Tasks[[#This Row],[_IsLeaf]]=1),0,IF(N(Tasks[[#This Row],[Actual Finish]])&gt;0,1,MIN(1,N(Tasks[[#This Row],[% Complete]]))))</f>
        <v>0</v>
      </c>
      <c r="CL180" s="41" t="n">
        <f aca="false">IF(OR(NOT(Tasks[[#This Row],[_IsLeaf]]=1),Tasks[[#This Row],[Resource]]=""),0,N(Tasks[[#This Row],[Duration]])*HoursPerDay*IF(Tasks[[#This Row],[Units]]="",DefaultUnits,Tasks[[#This Row],[Units]]))</f>
        <v>0</v>
      </c>
      <c r="CM180" s="41" t="n">
        <f aca="false">IF(Tasks[[#This Row],[_LeafWork]]=0,0,Tasks[[#This Row],[_LeafWork]]*IFERROR(INDEX(res_Rate,MATCH(Tasks[[#This Row],[Resource]],res_Name,0)),0))</f>
        <v>0</v>
      </c>
      <c r="CN180" s="41" t="n">
        <f aca="false">Tasks[[#This Row],[_LeafWork]]+IF(Tasks[[#This Row],[_IsLeaf]]=1,SUMIFS(asg_Work,asg_TaskUID,Tasks[[#This Row],[UID]],asg_Valid,1),0)</f>
        <v>0</v>
      </c>
      <c r="CO180" s="41" t="n">
        <f aca="false">Tasks[[#This Row],[_LeafCost]]+IF(Tasks[[#This Row],[_IsLeaf]]=1,SUMIFS(asg_Cost,asg_TaskUID,Tasks[[#This Row],[UID]],asg_Valid,1),0)</f>
        <v>0</v>
      </c>
      <c r="CP180" s="41" t="n">
        <f aca="false">IF(Tasks[[#This Row],[_LeafTotalCost]]=0,Tasks[[#This Row],[_LeafAC]],Tasks[[#This Row],[_LeafAC]]*Tasks[[#This Row],[_LeafCost]]/Tasks[[#This Row],[_LeafTotalCost]])</f>
        <v>0</v>
      </c>
      <c r="CQ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0" s="41" t="n">
        <f aca="false">IF(NOT(Tasks[[#This Row],[_IsLeaf]]=1),0,MAX(_xlfn.MAXIFS(Tasks[_Row],Tasks[Pred1 UID],Tasks[[#This Row],[UID]]),_xlfn.MAXIFS(Tasks[_Row],Tasks[Pred2 UID],Tasks[[#This Row],[UID]]),_xlfn.MAXIFS(Tasks[_Row],Tasks[Pred3 UID],Tasks[[#This Row],[UID]]),_xlfn.MAXIFS(Tasks[_Row],Tasks[Pred4 UID],Tasks[[#This Row],[UID]])))</f>
        <v>0</v>
      </c>
      <c r="CZ1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0" s="101" t="str">
        <f aca="false">IF(NOT(Tasks[[#This Row],[_IsLeaf]]=1),"",IF(N(Tasks[[#This Row],[Duration]])&lt;=0,Tasks[[#This Row],[_LeafLateFinish]],WORKDAY.INTL(Tasks[[#This Row],[_LeafLateFinish]],-(Tasks[[#This Row],[Duration]]-1),WorkWeek,Holidays)))</f>
        <v/>
      </c>
      <c r="DC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0" s="100" t="b">
        <f aca="false">AND(Tasks[[#This Row],[_IsLeaf]]=1,Tasks[[#This Row],[_LeafProgress]]&lt;1,N(Tasks[[#This Row],[_LeafTotalSlack]])&lt;=CriticalSlackDays)</f>
        <v>0</v>
      </c>
      <c r="DE180" s="41" t="n">
        <f aca="false">IF(AND(Tasks[[#This Row],[_IsLeaf]]=1,Tasks[[#This Row],[_ConstraintCode]]=1,Tasks[[#This Row],[Mode]]&lt;&gt;"Manual",N(Tasks[[#This Row],[Actual Start]])=0),MAX(0,N(Tasks[[#This Row],[Free Slack]])),0)</f>
        <v>0</v>
      </c>
      <c r="DF180" s="101" t="str">
        <f aca="false">IF(NOT(Tasks[[#This Row],[_IsLeaf]]=1),"",IF(Tasks[[#This Row],[_AlapShift]]=0,Tasks[[#This Row],[_LeafCalcStart]],WORKDAY.INTL(Tasks[[#This Row],[_LeafCalcStart]],Tasks[[#This Row],[_AlapShift]],WorkWeek,Holidays)))</f>
        <v/>
      </c>
      <c r="DG180" s="101" t="str">
        <f aca="false">IF(NOT(Tasks[[#This Row],[_IsLeaf]]=1),"",IF(Tasks[[#This Row],[_AlapShift]]=0,Tasks[[#This Row],[_LeafCalcFinish]],WORKDAY.INTL(Tasks[[#This Row],[_LeafCalcFinish]],Tasks[[#This Row],[_AlapShift]],WorkWeek,Holidays)))</f>
        <v/>
      </c>
      <c r="DH180" s="101" t="str">
        <f aca="false">IF(NOT(Tasks[[#This Row],[_IsLeaf]]=1),"",IF(Tasks[[#This Row],[_AlapShift]]=0,Tasks[[#This Row],[_LeafFcstStart]],WORKDAY.INTL(Tasks[[#This Row],[_LeafFcstStart]],Tasks[[#This Row],[_AlapShift]],WorkWeek,Holidays)))</f>
        <v/>
      </c>
      <c r="DI180" s="101" t="str">
        <f aca="false">IF(NOT(Tasks[[#This Row],[_IsLeaf]]=1),"",IF(Tasks[[#This Row],[_AlapShift]]=0,Tasks[[#This Row],[_LeafFcstFinish]],WORKDAY.INTL(Tasks[[#This Row],[_LeafFcstFinish]],Tasks[[#This Row],[_AlapShift]],WorkWeek,Holidays)))</f>
        <v/>
      </c>
      <c r="DJ180" s="101" t="str">
        <f aca="false">IF(Tasks[[#This Row],[Task Name]]="","",IF(Tasks[[#This Row],[_IsSummary]],MIN(INDEX(Tasks[_ShownCalcStart],Tasks[[#This Row],[_Row]]+1):INDEX(Tasks[_ShownCalcStart],Tasks[[#This Row],[_Row]]+Tasks[[#This Row],[_Descendants]])),Tasks[[#This Row],[_ShownCalcStart]]))</f>
        <v/>
      </c>
      <c r="DK180" s="101" t="str">
        <f aca="false">IF(Tasks[[#This Row],[Task Name]]="","",IF(Tasks[[#This Row],[_IsSummary]],MAX(INDEX(Tasks[_ShownCalcFinish],Tasks[[#This Row],[_Row]]+1):INDEX(Tasks[_ShownCalcFinish],Tasks[[#This Row],[_Row]]+Tasks[[#This Row],[_Descendants]])),Tasks[[#This Row],[_ShownCalcFinish]]))</f>
        <v/>
      </c>
      <c r="D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0" s="41" t="n">
        <f aca="false">IF(AND(Tasks[[#This Row],[_IsLeaf]]=1,Tasks[[#This Row],[_LeafTotalWork]]&gt;0),NETWORKDAYS.INTL(ProjectStart,Tasks[[#This Row],[_ShownFcstStart]],WorkWeek,Holidays),0)</f>
        <v>0</v>
      </c>
      <c r="DY180" s="41" t="n">
        <f aca="false">IF(AND(Tasks[[#This Row],[_IsLeaf]]=1,Tasks[[#This Row],[_LeafTotalWork]]&gt;0),MAX(Tasks[[#This Row],[_StartWorkday]],NETWORKDAYS.INTL(ProjectStart,Tasks[[#This Row],[_ShownFcstFinish]],WorkWeek,Holidays)),0)</f>
        <v>0</v>
      </c>
      <c r="DZ180" s="41" t="n">
        <f aca="false">IF(AND(Tasks[[#This Row],[_IsLeaf]]=1,Tasks[[#This Row],[_LeafTotalWork]]&gt;0),Tasks[[#This Row],[_LeafWork]]/(Tasks[[#This Row],[_FinishWorkday]]-Tasks[[#This Row],[_StartWorkday]]+1),0)</f>
        <v>0</v>
      </c>
      <c r="EA180" s="41" t="n">
        <f aca="false">Tasks[[#This Row],[_WorkPerWorkday]]*(Tasks[[#This Row],[_StartWorkday]]-1)</f>
        <v>-0</v>
      </c>
      <c r="EB180" s="41" t="n">
        <f aca="false">IF(Tasks[[#This Row],[_IsLeaf]]=1,MAX(N(Tasks[[#This Row],[Duration]]),0.1),0)</f>
        <v>0</v>
      </c>
      <c r="EC180" s="41" t="n">
        <f aca="false">Tasks[[#This Row],[_WeightDur]]*Tasks[[#This Row],[_LeafProgress]]</f>
        <v>0</v>
      </c>
      <c r="ED1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0" s="41" t="str">
        <f aca="false">IF(AND(Tasks[[#This Row],[_IsLeaf]]=1,N(Tasks[[#This Row],[Duration]])=0,Tasks[[#This Row],[_LeafProgress]]&lt;1),Tasks[[#This Row],[_ShownFcstFinish]]+Tasks[[#This Row],[_Row]]/100000,"")</f>
        <v/>
      </c>
      <c r="EF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0" s="41" t="n">
        <f aca="false">IF(NOT(Tasks[[#This Row],[_IsLeaf]]=1),0,IF(Tasks[[#This Row],[Baseline Cost]]="",Tasks[[#This Row],[_LeafTotalCost]],N(Tasks[[#This Row],[Baseline Cost]])))</f>
        <v>0</v>
      </c>
      <c r="EH180" s="41" t="n">
        <f aca="false">Tasks[[#This Row],[_LeafBudget]]*Tasks[[#This Row],[_PlannedPct]]</f>
        <v>0</v>
      </c>
      <c r="EI180" s="41" t="n">
        <f aca="false">Tasks[[#This Row],[_LeafBudget]]*Tasks[[#This Row],[_LeafProgress]]</f>
        <v>0</v>
      </c>
      <c r="EJ180" s="41" t="n">
        <f aca="false">IF(NOT(Tasks[[#This Row],[_IsLeaf]]=1),0,IF(Tasks[[#This Row],[Actual Cost]]="",Tasks[[#This Row],[_LeafTotalCost]]*Tasks[[#This Row],[_LeafProgress]],N(Tasks[[#This Row],[Actual Cost]])))</f>
        <v>0</v>
      </c>
      <c r="EK180" s="41" t="str">
        <f aca="false">IF(Tasks[[#This Row],[Task Name]]="","",LEFT(Tasks[[#This Row],[WBS]],FIND(".",Tasks[[#This Row],[WBS]]&amp;".")-1))</f>
        <v/>
      </c>
      <c r="EL180" s="41" t="str">
        <f aca="false">IF(AND(Tasks[[#This Row],[Task Name]]&lt;&gt;"",Tasks[[#This Row],[_Level]]=1),Tasks[[#This Row],[_Row]],"")</f>
        <v/>
      </c>
      <c r="EM180" s="41" t="str">
        <f aca="false">IF(AND(Tasks[[#This Row],[_IsLeaf]]=1,N(Tasks[[#This Row],[Duration]])=0),Tasks[[#This Row],[Planned Finish]]+Tasks[[#This Row],[_Row]]/100000,"")</f>
        <v/>
      </c>
      <c r="EN180" s="41" t="str">
        <f aca="false">IF(AND(Tasks[[#This Row],[_IsLeaf]]=1,Tasks[[#This Row],[_LeafProgress]]&lt;1,OR(N(Tasks[[#This Row],[Finish Var]])&gt;0,Tasks[[#This Row],[Status]]="Late Start")),MAX(0,Tasks[[#This Row],[Finish Var]])+1-Tasks[[#This Row],[_Row]]/1000000,"")</f>
        <v/>
      </c>
      <c r="EO180" s="41" t="str">
        <f aca="false">IF(AND(Tasks[[#This Row],[_IsLeaf]]=1,N(Tasks[[#This Row],[Actual Start]])=0,Tasks[[#This Row],[_ShownFcstStart]]&gt;=StatusDate,Tasks[[#This Row],[_ShownFcstStart]]&lt;=LookaheadEnd),Tasks[[#This Row],[_ShownFcstStart]]+Tasks[[#This Row],[_Row]]/100000,"")</f>
        <v/>
      </c>
      <c r="EP180" s="41" t="str">
        <f aca="false">IF(AND(Tasks[[#This Row],[_IsLeaf]]=1,Tasks[[#This Row],[_LeafProgress]]&lt;1,Tasks[[#This Row],[_ShownFcstFinish]]&gt;=StatusDate,Tasks[[#This Row],[_ShownFcstFinish]]&lt;=LookaheadEnd),Tasks[[#This Row],[_ShownFcstFinish]]+Tasks[[#This Row],[_Row]]/100000,"")</f>
        <v/>
      </c>
      <c r="EQ180" s="41" t="str">
        <f aca="false">IF(Tasks[[#This Row],[_LeafCritical]],Tasks[[#This Row],[_ShownFcstStart]]+Tasks[[#This Row],[_Row]]/100000,"")</f>
        <v/>
      </c>
      <c r="ER180" s="41" t="n">
        <f aca="false">Tasks[[#This Row],[_LeafWork]]*Tasks[[#This Row],[_LeafProgress]]</f>
        <v>0</v>
      </c>
      <c r="ES180" s="101" t="str">
        <f aca="false">IF(AND(Tasks[[#This Row],[_IsLeaf]]=1,Tasks[[#This Row],[_LeafProgress]]&gt;=1),IF(N(Tasks[[#This Row],[Actual Finish]])&gt;0,Tasks[[#This Row],[Actual Finish]],Tasks[[#This Row],[_ShownFcstFinish]]),"")</f>
        <v/>
      </c>
      <c r="ET180" s="41" t="n">
        <f aca="false">IF(Tasks[[#This Row],[_IsLeaf]]=1,N(Tasks[[#This Row],[Story Points]]),0)</f>
        <v>0</v>
      </c>
      <c r="EU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29"/>
      <c r="O181" s="29"/>
      <c r="P181" s="29"/>
      <c r="Q181" s="29"/>
      <c r="R181" s="29"/>
      <c r="S181" s="29"/>
      <c r="T181" s="30"/>
      <c r="U181" s="75"/>
      <c r="V181" s="75"/>
      <c r="W181" s="25" t="str">
        <f aca="false">IF(Tasks[[#This Row],[Task Name]]="","",IF(N(Tasks[[#This Row],[Baseline Start]])&gt;0,Tasks[[#This Row],[Baseline Start]],Tasks[[#This Row],[_CalcStart]]))</f>
        <v/>
      </c>
      <c r="X181" s="25" t="str">
        <f aca="false">IF(Tasks[[#This Row],[Task Name]]="","",IF(N(Tasks[[#This Row],[Baseline Finish]])&gt;0,Tasks[[#This Row],[Baseline Finish]],Tasks[[#This Row],[_CalcFinish]]))</f>
        <v/>
      </c>
      <c r="Y181" s="75"/>
      <c r="Z181" s="75"/>
      <c r="AA181" s="25" t="str">
        <f aca="false">IF(Tasks[[#This Row],[Task Name]]="","",IF(Tasks[[#This Row],[_IsSummary]],MIN(INDEX(Tasks[_ShownFcstStart],Tasks[[#This Row],[_Row]]+1):INDEX(Tasks[_ShownFcstStart],Tasks[[#This Row],[_Row]]+Tasks[[#This Row],[_Descendants]])),Tasks[[#This Row],[_ShownFcstStart]]))</f>
        <v/>
      </c>
      <c r="AB181" s="25" t="str">
        <f aca="false">IF(Tasks[[#This Row],[Task Name]]="","",IF(Tasks[[#This Row],[_IsSummary]],MAX(INDEX(Tasks[_ShownFcstFinish],Tasks[[#This Row],[_Row]]+1):INDEX(Tasks[_ShownFcstFinish],Tasks[[#This Row],[_Row]]+Tasks[[#This Row],[_Descendants]])),Tasks[[#This Row],[_ShownFcstFinish]]))</f>
        <v/>
      </c>
      <c r="AC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1" s="25" t="str">
        <f aca="false">IF(Tasks[[#This Row],[Task Name]]="","",IF(Tasks[[#This Row],[_IsSummary]],MIN(INDEX(Tasks[_LeafLateStart],Tasks[[#This Row],[_Row]]+1):INDEX(Tasks[_LeafLateStart],Tasks[[#This Row],[_Row]]+Tasks[[#This Row],[_Descendants]])),Tasks[[#This Row],[_LeafLateStart]]))</f>
        <v/>
      </c>
      <c r="AF181" s="25" t="str">
        <f aca="false">IF(Tasks[[#This Row],[Task Name]]="","",IF(Tasks[[#This Row],[_IsSummary]],MAX(INDEX(Tasks[_LeafLateFinish],Tasks[[#This Row],[_Row]]+1):INDEX(Tasks[_LeafLateFinish],Tasks[[#This Row],[_Row]]+Tasks[[#This Row],[_Descendants]])),Tasks[[#This Row],[_LeafLateFinish]]))</f>
        <v/>
      </c>
      <c r="AG181" s="28" t="str">
        <f aca="false">IF(Tasks[[#This Row],[Task Name]]="","",IF(Tasks[[#This Row],[_IsSummary]],MIN(INDEX(Tasks[_LeafTotalSlack],Tasks[[#This Row],[_Row]]+1):INDEX(Tasks[_LeafTotalSlack],Tasks[[#This Row],[_Row]]+Tasks[[#This Row],[_Descendants]])),Tasks[[#This Row],[_LeafTotalSlack]]))</f>
        <v/>
      </c>
      <c r="AH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1" s="28" t="str">
        <f aca="false">IF(Tasks[[#This Row],[Task Name]]="","",IF(IF(Tasks[[#This Row],[_IsSummary]],COUNTIF(INDEX(Tasks[_LeafCritical],Tasks[[#This Row],[_Row]]+1):INDEX(Tasks[_LeafCritical],Tasks[[#This Row],[_Row]]+Tasks[[#This Row],[_Descendants]]),TRUE())&gt;0,Tasks[[#This Row],[_LeafCritical]]),"Yes",""))</f>
        <v/>
      </c>
      <c r="AJ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1" s="89"/>
      <c r="AM1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1" s="28" t="str">
        <f aca="false">IF(Tasks[[#This Row],[Task Name]]="","",IF(Tasks[[#This Row],[Progress]]&gt;=1,"Complete",IF(OR(N(Tasks[[#This Row],[Actual Start]])&gt;0,Tasks[[#This Row],[Progress]]&gt;0),IF(Tasks[[#This Row],[Finish Var]]&gt;0,"Behind","In Progress"),IF(Tasks[[#This Row],[Planned Start]]&lt;StatusDate,"Late Start","Not Started"))))</f>
        <v/>
      </c>
      <c r="AO181" s="30"/>
      <c r="AP181" s="89"/>
      <c r="AQ1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1" s="96" t="str">
        <f aca="false">IF(Tasks[[#This Row],[Task Name]]="","",IF(Tasks[[#This Row],[_IsSummary]],SUM(INDEX(Tasks[_LeafTotalWork],Tasks[[#This Row],[_Row]]+1):INDEX(Tasks[_LeafTotalWork],Tasks[[#This Row],[_Row]]+Tasks[[#This Row],[_Descendants]])),Tasks[[#This Row],[_LeafTotalWork]]))</f>
        <v/>
      </c>
      <c r="AT181" s="97" t="str">
        <f aca="false">IF(Tasks[[#This Row],[Task Name]]="","",IF(Tasks[[#This Row],[_IsSummary]],SUM(INDEX(Tasks[_LeafTotalCost],Tasks[[#This Row],[_Row]]+1):INDEX(Tasks[_LeafTotalCost],Tasks[[#This Row],[_Row]]+Tasks[[#This Row],[_Descendants]])),Tasks[[#This Row],[_LeafTotalCost]]))</f>
        <v/>
      </c>
      <c r="AU181" s="98"/>
      <c r="AV181" s="29"/>
      <c r="AW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1" s="83"/>
      <c r="AY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1" s="30"/>
      <c r="BA181" s="25" t="str">
        <f aca="false">IF(Tasks[[#This Row],[Task Name]]="","",Tasks[[#This Row],[Forecast Start]])</f>
        <v/>
      </c>
      <c r="BB181" s="25" t="str">
        <f aca="false">IF(Tasks[[#This Row],[Task Name]]="","",Tasks[[#This Row],[Forecast Finish]])</f>
        <v/>
      </c>
      <c r="BC181" s="28" t="str">
        <f aca="false">IF(Tasks[[#This Row],[Task Name]]="","",IF(Tasks[[#This Row],[_IsSummary]],NETWORKDAYS.INTL(Tasks[[#This Row],[Forecast Start]],Tasks[[#This Row],[Forecast Finish]],WorkWeek,Holidays),N(Tasks[[#This Row],[Duration]])))</f>
        <v/>
      </c>
      <c r="BD181" s="96" t="str">
        <f aca="false">IF(Tasks[[#This Row],[Task Name]]="","",Tasks[[#This Row],[Work]])</f>
        <v/>
      </c>
      <c r="BE181" s="97" t="str">
        <f aca="false">IF(Tasks[[#This Row],[Task Name]]="","",Tasks[[#This Row],[Cost]])</f>
        <v/>
      </c>
      <c r="BF181" s="75"/>
      <c r="BG181" s="75"/>
      <c r="BH181" s="29"/>
      <c r="BI181" s="99"/>
      <c r="BJ181" s="98"/>
      <c r="BK181" s="28" t="str">
        <f aca="false">IF(OR(Tasks[[#This Row],[Task Name]]="",Tasks[[#This Row],[Baseline Duration]]=""),"",Tasks[[#This Row],[BL Source Duration]]-N(Tasks[[#This Row],[Baseline Duration]]))</f>
        <v/>
      </c>
      <c r="BL181" s="96" t="str">
        <f aca="false">IF(OR(Tasks[[#This Row],[Task Name]]="",Tasks[[#This Row],[Baseline Work]]=""),"",Tasks[[#This Row],[Work]]-N(Tasks[[#This Row],[Baseline Work]]))</f>
        <v/>
      </c>
      <c r="BM181" s="97" t="str">
        <f aca="false">IF(OR(Tasks[[#This Row],[Task Name]]="",Tasks[[#This Row],[Baseline Cost]]=""),"",Tasks[[#This Row],[Cost]]-N(Tasks[[#This Row],[Baseline Cost]]))</f>
        <v/>
      </c>
      <c r="BN181" s="97" t="str">
        <f aca="false">IF(Tasks[[#This Row],[Task Name]]="","",IF(Tasks[[#This Row],[_IsSummary]],SUM(INDEX(Tasks[_LeafBudget],Tasks[[#This Row],[_Row]]+1):INDEX(Tasks[_LeafBudget],Tasks[[#This Row],[_Row]]+Tasks[[#This Row],[_Descendants]])),Tasks[[#This Row],[_LeafBudget]]))</f>
        <v/>
      </c>
      <c r="BO181" s="97" t="str">
        <f aca="false">IF(Tasks[[#This Row],[Task Name]]="","",IF(Tasks[[#This Row],[_IsSummary]],SUM(INDEX(Tasks[_LeafPV],Tasks[[#This Row],[_Row]]+1):INDEX(Tasks[_LeafPV],Tasks[[#This Row],[_Row]]+Tasks[[#This Row],[_Descendants]])),Tasks[[#This Row],[_LeafPV]]))</f>
        <v/>
      </c>
      <c r="BP181" s="97" t="str">
        <f aca="false">IF(Tasks[[#This Row],[Task Name]]="","",IF(Tasks[[#This Row],[_IsSummary]],SUM(INDEX(Tasks[_LeafEV],Tasks[[#This Row],[_Row]]+1):INDEX(Tasks[_LeafEV],Tasks[[#This Row],[_Row]]+Tasks[[#This Row],[_Descendants]])),Tasks[[#This Row],[_LeafEV]]))</f>
        <v/>
      </c>
      <c r="BQ181" s="97" t="str">
        <f aca="false">IF(Tasks[[#This Row],[Task Name]]="","",IF(Tasks[[#This Row],[_IsSummary]],SUM(INDEX(Tasks[_LeafAC],Tasks[[#This Row],[_Row]]+1):INDEX(Tasks[_LeafAC],Tasks[[#This Row],[_Row]]+Tasks[[#This Row],[_Descendants]])),Tasks[[#This Row],[_LeafAC]]))</f>
        <v/>
      </c>
      <c r="BR181" s="41" t="str">
        <f aca="false">IF(Tasks[[#This Row],[Task Name]]="","",MAX(1,N(Tasks[[#This Row],[Level]])))</f>
        <v/>
      </c>
      <c r="BS181" s="41" t="n">
        <f aca="false">ROW()-ROW(Tasks[[#Headers],[ID]])</f>
        <v>176</v>
      </c>
      <c r="BT181" s="41" t="n">
        <f aca="false">IF(OR(Tasks[[#This Row],[Task Name]]="",Tasks[[#This Row],[_Level]]&lt;=1),0,IFERROR(LOOKUP(2,1/(Tasks[[#Headers],[_Level]]:Tasks[[#This Row],[_Level]]=Tasks[[#This Row],[_Level]]-1),ROW(Tasks[[#Headers],[_Level]]:Tasks[[#This Row],[_Level]])),0))</f>
        <v>0</v>
      </c>
      <c r="BU181" s="41" t="n">
        <f aca="false">IFERROR(N(INDEX(Tasks[_Level],Tasks[[#This Row],[_Row]]+1)),0)</f>
        <v>0</v>
      </c>
      <c r="BV181" s="100" t="b">
        <f aca="false">AND(Tasks[[#This Row],[Task Name]]&lt;&gt;"",Tasks[[#This Row],[_NextLevel]]&gt;Tasks[[#This Row],[_Level]])</f>
        <v>0</v>
      </c>
      <c r="BW181" s="41" t="n">
        <f aca="false">IF(Tasks[[#This Row],[_IsSummary]],COUNTIF(Tasks[WBS],Tasks[[#This Row],[WBS]]&amp;".*"),0)</f>
        <v>0</v>
      </c>
      <c r="BX181" s="41" t="n">
        <f aca="false">IF(AND(Tasks[[#This Row],[Task Name]]&lt;&gt;"",NOT(Tasks[[#This Row],[_IsSummary]])),1,0)</f>
        <v>0</v>
      </c>
      <c r="BY181" s="41" t="n">
        <f aca="false">IF(N(Tasks[[#This Row],[Pred1 UID]])=0,0,IFERROR(MATCH(Tasks[[#This Row],[Pred1 UID]],Tasks[UID],0),-1))</f>
        <v>0</v>
      </c>
      <c r="BZ181" s="41" t="n">
        <f aca="false">IF(N(Tasks[[#This Row],[Pred2 UID]])=0,0,IFERROR(MATCH(Tasks[[#This Row],[Pred2 UID]],Tasks[UID],0),-1))</f>
        <v>0</v>
      </c>
      <c r="CA181" s="41" t="n">
        <f aca="false">IF(N(Tasks[[#This Row],[Pred3 UID]])=0,0,IFERROR(MATCH(Tasks[[#This Row],[Pred3 UID]],Tasks[UID],0),-1))</f>
        <v>0</v>
      </c>
      <c r="CB181" s="41" t="n">
        <f aca="false">IF(N(Tasks[[#This Row],[Pred4 UID]])=0,0,IFERROR(MATCH(Tasks[[#This Row],[Pred4 UID]],Tasks[UID],0),-1))</f>
        <v>0</v>
      </c>
      <c r="CC1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1" s="101" t="n">
        <f aca="false">IF(OR(Tasks[[#This Row],[_ConstraintCode]]=2,Tasks[[#This Row],[_ConstraintCode]]=3,Tasks[[#This Row],[_ConstraintCode]]=4,Tasks[[#This Row],[_ConstraintCode]]=6),Tasks[[#This Row],[_ConstraintStart]],0)</f>
        <v>0</v>
      </c>
      <c r="CF181" s="101" t="n">
        <f aca="false">IF(OR(Tasks[[#This Row],[_ConstraintCode]]=2,Tasks[[#This Row],[_ConstraintCode]]=3,Tasks[[#This Row],[_ConstraintCode]]=5,Tasks[[#This Row],[_ConstraintCode]]=7),Tasks[[#This Row],[_ConstraintStart]],2958465)</f>
        <v>2958465</v>
      </c>
      <c r="CG18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1" s="101" t="str">
        <f aca="false">IF(NOT(Tasks[[#This Row],[_IsLeaf]]=1),"",IF(N(Tasks[[#This Row],[Duration]])&lt;=0,Tasks[[#This Row],[_LeafCalcStart]],WORKDAY.INTL(Tasks[[#This Row],[_LeafCalcStart]],Tasks[[#This Row],[Duration]]-1,WorkWeek,Holidays)))</f>
        <v/>
      </c>
      <c r="CI18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1" s="41" t="n">
        <f aca="false">IF(NOT(Tasks[[#This Row],[_IsLeaf]]=1),0,IF(N(Tasks[[#This Row],[Actual Finish]])&gt;0,1,MIN(1,N(Tasks[[#This Row],[% Complete]]))))</f>
        <v>0</v>
      </c>
      <c r="CL181" s="41" t="n">
        <f aca="false">IF(OR(NOT(Tasks[[#This Row],[_IsLeaf]]=1),Tasks[[#This Row],[Resource]]=""),0,N(Tasks[[#This Row],[Duration]])*HoursPerDay*IF(Tasks[[#This Row],[Units]]="",DefaultUnits,Tasks[[#This Row],[Units]]))</f>
        <v>0</v>
      </c>
      <c r="CM181" s="41" t="n">
        <f aca="false">IF(Tasks[[#This Row],[_LeafWork]]=0,0,Tasks[[#This Row],[_LeafWork]]*IFERROR(INDEX(res_Rate,MATCH(Tasks[[#This Row],[Resource]],res_Name,0)),0))</f>
        <v>0</v>
      </c>
      <c r="CN181" s="41" t="n">
        <f aca="false">Tasks[[#This Row],[_LeafWork]]+IF(Tasks[[#This Row],[_IsLeaf]]=1,SUMIFS(asg_Work,asg_TaskUID,Tasks[[#This Row],[UID]],asg_Valid,1),0)</f>
        <v>0</v>
      </c>
      <c r="CO181" s="41" t="n">
        <f aca="false">Tasks[[#This Row],[_LeafCost]]+IF(Tasks[[#This Row],[_IsLeaf]]=1,SUMIFS(asg_Cost,asg_TaskUID,Tasks[[#This Row],[UID]],asg_Valid,1),0)</f>
        <v>0</v>
      </c>
      <c r="CP181" s="41" t="n">
        <f aca="false">IF(Tasks[[#This Row],[_LeafTotalCost]]=0,Tasks[[#This Row],[_LeafAC]],Tasks[[#This Row],[_LeafAC]]*Tasks[[#This Row],[_LeafCost]]/Tasks[[#This Row],[_LeafTotalCost]])</f>
        <v>0</v>
      </c>
      <c r="CQ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1" s="41" t="n">
        <f aca="false">IF(NOT(Tasks[[#This Row],[_IsLeaf]]=1),0,MAX(_xlfn.MAXIFS(Tasks[_Row],Tasks[Pred1 UID],Tasks[[#This Row],[UID]]),_xlfn.MAXIFS(Tasks[_Row],Tasks[Pred2 UID],Tasks[[#This Row],[UID]]),_xlfn.MAXIFS(Tasks[_Row],Tasks[Pred3 UID],Tasks[[#This Row],[UID]]),_xlfn.MAXIFS(Tasks[_Row],Tasks[Pred4 UID],Tasks[[#This Row],[UID]])))</f>
        <v>0</v>
      </c>
      <c r="CZ1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1" s="101" t="str">
        <f aca="false">IF(NOT(Tasks[[#This Row],[_IsLeaf]]=1),"",IF(N(Tasks[[#This Row],[Duration]])&lt;=0,Tasks[[#This Row],[_LeafLateFinish]],WORKDAY.INTL(Tasks[[#This Row],[_LeafLateFinish]],-(Tasks[[#This Row],[Duration]]-1),WorkWeek,Holidays)))</f>
        <v/>
      </c>
      <c r="DC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1" s="100" t="b">
        <f aca="false">AND(Tasks[[#This Row],[_IsLeaf]]=1,Tasks[[#This Row],[_LeafProgress]]&lt;1,N(Tasks[[#This Row],[_LeafTotalSlack]])&lt;=CriticalSlackDays)</f>
        <v>0</v>
      </c>
      <c r="DE181" s="41" t="n">
        <f aca="false">IF(AND(Tasks[[#This Row],[_IsLeaf]]=1,Tasks[[#This Row],[_ConstraintCode]]=1,Tasks[[#This Row],[Mode]]&lt;&gt;"Manual",N(Tasks[[#This Row],[Actual Start]])=0),MAX(0,N(Tasks[[#This Row],[Free Slack]])),0)</f>
        <v>0</v>
      </c>
      <c r="DF181" s="101" t="str">
        <f aca="false">IF(NOT(Tasks[[#This Row],[_IsLeaf]]=1),"",IF(Tasks[[#This Row],[_AlapShift]]=0,Tasks[[#This Row],[_LeafCalcStart]],WORKDAY.INTL(Tasks[[#This Row],[_LeafCalcStart]],Tasks[[#This Row],[_AlapShift]],WorkWeek,Holidays)))</f>
        <v/>
      </c>
      <c r="DG181" s="101" t="str">
        <f aca="false">IF(NOT(Tasks[[#This Row],[_IsLeaf]]=1),"",IF(Tasks[[#This Row],[_AlapShift]]=0,Tasks[[#This Row],[_LeafCalcFinish]],WORKDAY.INTL(Tasks[[#This Row],[_LeafCalcFinish]],Tasks[[#This Row],[_AlapShift]],WorkWeek,Holidays)))</f>
        <v/>
      </c>
      <c r="DH181" s="101" t="str">
        <f aca="false">IF(NOT(Tasks[[#This Row],[_IsLeaf]]=1),"",IF(Tasks[[#This Row],[_AlapShift]]=0,Tasks[[#This Row],[_LeafFcstStart]],WORKDAY.INTL(Tasks[[#This Row],[_LeafFcstStart]],Tasks[[#This Row],[_AlapShift]],WorkWeek,Holidays)))</f>
        <v/>
      </c>
      <c r="DI181" s="101" t="str">
        <f aca="false">IF(NOT(Tasks[[#This Row],[_IsLeaf]]=1),"",IF(Tasks[[#This Row],[_AlapShift]]=0,Tasks[[#This Row],[_LeafFcstFinish]],WORKDAY.INTL(Tasks[[#This Row],[_LeafFcstFinish]],Tasks[[#This Row],[_AlapShift]],WorkWeek,Holidays)))</f>
        <v/>
      </c>
      <c r="DJ181" s="101" t="str">
        <f aca="false">IF(Tasks[[#This Row],[Task Name]]="","",IF(Tasks[[#This Row],[_IsSummary]],MIN(INDEX(Tasks[_ShownCalcStart],Tasks[[#This Row],[_Row]]+1):INDEX(Tasks[_ShownCalcStart],Tasks[[#This Row],[_Row]]+Tasks[[#This Row],[_Descendants]])),Tasks[[#This Row],[_ShownCalcStart]]))</f>
        <v/>
      </c>
      <c r="DK181" s="101" t="str">
        <f aca="false">IF(Tasks[[#This Row],[Task Name]]="","",IF(Tasks[[#This Row],[_IsSummary]],MAX(INDEX(Tasks[_ShownCalcFinish],Tasks[[#This Row],[_Row]]+1):INDEX(Tasks[_ShownCalcFinish],Tasks[[#This Row],[_Row]]+Tasks[[#This Row],[_Descendants]])),Tasks[[#This Row],[_ShownCalcFinish]]))</f>
        <v/>
      </c>
      <c r="D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1" s="41" t="n">
        <f aca="false">IF(AND(Tasks[[#This Row],[_IsLeaf]]=1,Tasks[[#This Row],[_LeafTotalWork]]&gt;0),NETWORKDAYS.INTL(ProjectStart,Tasks[[#This Row],[_ShownFcstStart]],WorkWeek,Holidays),0)</f>
        <v>0</v>
      </c>
      <c r="DY181" s="41" t="n">
        <f aca="false">IF(AND(Tasks[[#This Row],[_IsLeaf]]=1,Tasks[[#This Row],[_LeafTotalWork]]&gt;0),MAX(Tasks[[#This Row],[_StartWorkday]],NETWORKDAYS.INTL(ProjectStart,Tasks[[#This Row],[_ShownFcstFinish]],WorkWeek,Holidays)),0)</f>
        <v>0</v>
      </c>
      <c r="DZ181" s="41" t="n">
        <f aca="false">IF(AND(Tasks[[#This Row],[_IsLeaf]]=1,Tasks[[#This Row],[_LeafTotalWork]]&gt;0),Tasks[[#This Row],[_LeafWork]]/(Tasks[[#This Row],[_FinishWorkday]]-Tasks[[#This Row],[_StartWorkday]]+1),0)</f>
        <v>0</v>
      </c>
      <c r="EA181" s="41" t="n">
        <f aca="false">Tasks[[#This Row],[_WorkPerWorkday]]*(Tasks[[#This Row],[_StartWorkday]]-1)</f>
        <v>-0</v>
      </c>
      <c r="EB181" s="41" t="n">
        <f aca="false">IF(Tasks[[#This Row],[_IsLeaf]]=1,MAX(N(Tasks[[#This Row],[Duration]]),0.1),0)</f>
        <v>0</v>
      </c>
      <c r="EC181" s="41" t="n">
        <f aca="false">Tasks[[#This Row],[_WeightDur]]*Tasks[[#This Row],[_LeafProgress]]</f>
        <v>0</v>
      </c>
      <c r="ED1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1" s="41" t="str">
        <f aca="false">IF(AND(Tasks[[#This Row],[_IsLeaf]]=1,N(Tasks[[#This Row],[Duration]])=0,Tasks[[#This Row],[_LeafProgress]]&lt;1),Tasks[[#This Row],[_ShownFcstFinish]]+Tasks[[#This Row],[_Row]]/100000,"")</f>
        <v/>
      </c>
      <c r="EF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1" s="41" t="n">
        <f aca="false">IF(NOT(Tasks[[#This Row],[_IsLeaf]]=1),0,IF(Tasks[[#This Row],[Baseline Cost]]="",Tasks[[#This Row],[_LeafTotalCost]],N(Tasks[[#This Row],[Baseline Cost]])))</f>
        <v>0</v>
      </c>
      <c r="EH181" s="41" t="n">
        <f aca="false">Tasks[[#This Row],[_LeafBudget]]*Tasks[[#This Row],[_PlannedPct]]</f>
        <v>0</v>
      </c>
      <c r="EI181" s="41" t="n">
        <f aca="false">Tasks[[#This Row],[_LeafBudget]]*Tasks[[#This Row],[_LeafProgress]]</f>
        <v>0</v>
      </c>
      <c r="EJ181" s="41" t="n">
        <f aca="false">IF(NOT(Tasks[[#This Row],[_IsLeaf]]=1),0,IF(Tasks[[#This Row],[Actual Cost]]="",Tasks[[#This Row],[_LeafTotalCost]]*Tasks[[#This Row],[_LeafProgress]],N(Tasks[[#This Row],[Actual Cost]])))</f>
        <v>0</v>
      </c>
      <c r="EK181" s="41" t="str">
        <f aca="false">IF(Tasks[[#This Row],[Task Name]]="","",LEFT(Tasks[[#This Row],[WBS]],FIND(".",Tasks[[#This Row],[WBS]]&amp;".")-1))</f>
        <v/>
      </c>
      <c r="EL181" s="41" t="str">
        <f aca="false">IF(AND(Tasks[[#This Row],[Task Name]]&lt;&gt;"",Tasks[[#This Row],[_Level]]=1),Tasks[[#This Row],[_Row]],"")</f>
        <v/>
      </c>
      <c r="EM181" s="41" t="str">
        <f aca="false">IF(AND(Tasks[[#This Row],[_IsLeaf]]=1,N(Tasks[[#This Row],[Duration]])=0),Tasks[[#This Row],[Planned Finish]]+Tasks[[#This Row],[_Row]]/100000,"")</f>
        <v/>
      </c>
      <c r="EN181" s="41" t="str">
        <f aca="false">IF(AND(Tasks[[#This Row],[_IsLeaf]]=1,Tasks[[#This Row],[_LeafProgress]]&lt;1,OR(N(Tasks[[#This Row],[Finish Var]])&gt;0,Tasks[[#This Row],[Status]]="Late Start")),MAX(0,Tasks[[#This Row],[Finish Var]])+1-Tasks[[#This Row],[_Row]]/1000000,"")</f>
        <v/>
      </c>
      <c r="EO181" s="41" t="str">
        <f aca="false">IF(AND(Tasks[[#This Row],[_IsLeaf]]=1,N(Tasks[[#This Row],[Actual Start]])=0,Tasks[[#This Row],[_ShownFcstStart]]&gt;=StatusDate,Tasks[[#This Row],[_ShownFcstStart]]&lt;=LookaheadEnd),Tasks[[#This Row],[_ShownFcstStart]]+Tasks[[#This Row],[_Row]]/100000,"")</f>
        <v/>
      </c>
      <c r="EP181" s="41" t="str">
        <f aca="false">IF(AND(Tasks[[#This Row],[_IsLeaf]]=1,Tasks[[#This Row],[_LeafProgress]]&lt;1,Tasks[[#This Row],[_ShownFcstFinish]]&gt;=StatusDate,Tasks[[#This Row],[_ShownFcstFinish]]&lt;=LookaheadEnd),Tasks[[#This Row],[_ShownFcstFinish]]+Tasks[[#This Row],[_Row]]/100000,"")</f>
        <v/>
      </c>
      <c r="EQ181" s="41" t="str">
        <f aca="false">IF(Tasks[[#This Row],[_LeafCritical]],Tasks[[#This Row],[_ShownFcstStart]]+Tasks[[#This Row],[_Row]]/100000,"")</f>
        <v/>
      </c>
      <c r="ER181" s="41" t="n">
        <f aca="false">Tasks[[#This Row],[_LeafWork]]*Tasks[[#This Row],[_LeafProgress]]</f>
        <v>0</v>
      </c>
      <c r="ES181" s="101" t="str">
        <f aca="false">IF(AND(Tasks[[#This Row],[_IsLeaf]]=1,Tasks[[#This Row],[_LeafProgress]]&gt;=1),IF(N(Tasks[[#This Row],[Actual Finish]])&gt;0,Tasks[[#This Row],[Actual Finish]],Tasks[[#This Row],[_ShownFcstFinish]]),"")</f>
        <v/>
      </c>
      <c r="ET181" s="41" t="n">
        <f aca="false">IF(Tasks[[#This Row],[_IsLeaf]]=1,N(Tasks[[#This Row],[Story Points]]),0)</f>
        <v>0</v>
      </c>
      <c r="EU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29"/>
      <c r="O182" s="29"/>
      <c r="P182" s="29"/>
      <c r="Q182" s="29"/>
      <c r="R182" s="29"/>
      <c r="S182" s="29"/>
      <c r="T182" s="30"/>
      <c r="U182" s="75"/>
      <c r="V182" s="75"/>
      <c r="W182" s="25" t="str">
        <f aca="false">IF(Tasks[[#This Row],[Task Name]]="","",IF(N(Tasks[[#This Row],[Baseline Start]])&gt;0,Tasks[[#This Row],[Baseline Start]],Tasks[[#This Row],[_CalcStart]]))</f>
        <v/>
      </c>
      <c r="X182" s="25" t="str">
        <f aca="false">IF(Tasks[[#This Row],[Task Name]]="","",IF(N(Tasks[[#This Row],[Baseline Finish]])&gt;0,Tasks[[#This Row],[Baseline Finish]],Tasks[[#This Row],[_CalcFinish]]))</f>
        <v/>
      </c>
      <c r="Y182" s="75"/>
      <c r="Z182" s="75"/>
      <c r="AA182" s="25" t="str">
        <f aca="false">IF(Tasks[[#This Row],[Task Name]]="","",IF(Tasks[[#This Row],[_IsSummary]],MIN(INDEX(Tasks[_ShownFcstStart],Tasks[[#This Row],[_Row]]+1):INDEX(Tasks[_ShownFcstStart],Tasks[[#This Row],[_Row]]+Tasks[[#This Row],[_Descendants]])),Tasks[[#This Row],[_ShownFcstStart]]))</f>
        <v/>
      </c>
      <c r="AB182" s="25" t="str">
        <f aca="false">IF(Tasks[[#This Row],[Task Name]]="","",IF(Tasks[[#This Row],[_IsSummary]],MAX(INDEX(Tasks[_ShownFcstFinish],Tasks[[#This Row],[_Row]]+1):INDEX(Tasks[_ShownFcstFinish],Tasks[[#This Row],[_Row]]+Tasks[[#This Row],[_Descendants]])),Tasks[[#This Row],[_ShownFcstFinish]]))</f>
        <v/>
      </c>
      <c r="AC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2" s="25" t="str">
        <f aca="false">IF(Tasks[[#This Row],[Task Name]]="","",IF(Tasks[[#This Row],[_IsSummary]],MIN(INDEX(Tasks[_LeafLateStart],Tasks[[#This Row],[_Row]]+1):INDEX(Tasks[_LeafLateStart],Tasks[[#This Row],[_Row]]+Tasks[[#This Row],[_Descendants]])),Tasks[[#This Row],[_LeafLateStart]]))</f>
        <v/>
      </c>
      <c r="AF182" s="25" t="str">
        <f aca="false">IF(Tasks[[#This Row],[Task Name]]="","",IF(Tasks[[#This Row],[_IsSummary]],MAX(INDEX(Tasks[_LeafLateFinish],Tasks[[#This Row],[_Row]]+1):INDEX(Tasks[_LeafLateFinish],Tasks[[#This Row],[_Row]]+Tasks[[#This Row],[_Descendants]])),Tasks[[#This Row],[_LeafLateFinish]]))</f>
        <v/>
      </c>
      <c r="AG182" s="28" t="str">
        <f aca="false">IF(Tasks[[#This Row],[Task Name]]="","",IF(Tasks[[#This Row],[_IsSummary]],MIN(INDEX(Tasks[_LeafTotalSlack],Tasks[[#This Row],[_Row]]+1):INDEX(Tasks[_LeafTotalSlack],Tasks[[#This Row],[_Row]]+Tasks[[#This Row],[_Descendants]])),Tasks[[#This Row],[_LeafTotalSlack]]))</f>
        <v/>
      </c>
      <c r="AH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2" s="28" t="str">
        <f aca="false">IF(Tasks[[#This Row],[Task Name]]="","",IF(IF(Tasks[[#This Row],[_IsSummary]],COUNTIF(INDEX(Tasks[_LeafCritical],Tasks[[#This Row],[_Row]]+1):INDEX(Tasks[_LeafCritical],Tasks[[#This Row],[_Row]]+Tasks[[#This Row],[_Descendants]]),TRUE())&gt;0,Tasks[[#This Row],[_LeafCritical]]),"Yes",""))</f>
        <v/>
      </c>
      <c r="AJ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2" s="89"/>
      <c r="AM1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2" s="28" t="str">
        <f aca="false">IF(Tasks[[#This Row],[Task Name]]="","",IF(Tasks[[#This Row],[Progress]]&gt;=1,"Complete",IF(OR(N(Tasks[[#This Row],[Actual Start]])&gt;0,Tasks[[#This Row],[Progress]]&gt;0),IF(Tasks[[#This Row],[Finish Var]]&gt;0,"Behind","In Progress"),IF(Tasks[[#This Row],[Planned Start]]&lt;StatusDate,"Late Start","Not Started"))))</f>
        <v/>
      </c>
      <c r="AO182" s="30"/>
      <c r="AP182" s="89"/>
      <c r="AQ1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2" s="96" t="str">
        <f aca="false">IF(Tasks[[#This Row],[Task Name]]="","",IF(Tasks[[#This Row],[_IsSummary]],SUM(INDEX(Tasks[_LeafTotalWork],Tasks[[#This Row],[_Row]]+1):INDEX(Tasks[_LeafTotalWork],Tasks[[#This Row],[_Row]]+Tasks[[#This Row],[_Descendants]])),Tasks[[#This Row],[_LeafTotalWork]]))</f>
        <v/>
      </c>
      <c r="AT182" s="97" t="str">
        <f aca="false">IF(Tasks[[#This Row],[Task Name]]="","",IF(Tasks[[#This Row],[_IsSummary]],SUM(INDEX(Tasks[_LeafTotalCost],Tasks[[#This Row],[_Row]]+1):INDEX(Tasks[_LeafTotalCost],Tasks[[#This Row],[_Row]]+Tasks[[#This Row],[_Descendants]])),Tasks[[#This Row],[_LeafTotalCost]]))</f>
        <v/>
      </c>
      <c r="AU182" s="98"/>
      <c r="AV182" s="29"/>
      <c r="AW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2" s="83"/>
      <c r="AY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2" s="30"/>
      <c r="BA182" s="25" t="str">
        <f aca="false">IF(Tasks[[#This Row],[Task Name]]="","",Tasks[[#This Row],[Forecast Start]])</f>
        <v/>
      </c>
      <c r="BB182" s="25" t="str">
        <f aca="false">IF(Tasks[[#This Row],[Task Name]]="","",Tasks[[#This Row],[Forecast Finish]])</f>
        <v/>
      </c>
      <c r="BC182" s="28" t="str">
        <f aca="false">IF(Tasks[[#This Row],[Task Name]]="","",IF(Tasks[[#This Row],[_IsSummary]],NETWORKDAYS.INTL(Tasks[[#This Row],[Forecast Start]],Tasks[[#This Row],[Forecast Finish]],WorkWeek,Holidays),N(Tasks[[#This Row],[Duration]])))</f>
        <v/>
      </c>
      <c r="BD182" s="96" t="str">
        <f aca="false">IF(Tasks[[#This Row],[Task Name]]="","",Tasks[[#This Row],[Work]])</f>
        <v/>
      </c>
      <c r="BE182" s="97" t="str">
        <f aca="false">IF(Tasks[[#This Row],[Task Name]]="","",Tasks[[#This Row],[Cost]])</f>
        <v/>
      </c>
      <c r="BF182" s="75"/>
      <c r="BG182" s="75"/>
      <c r="BH182" s="29"/>
      <c r="BI182" s="99"/>
      <c r="BJ182" s="98"/>
      <c r="BK182" s="28" t="str">
        <f aca="false">IF(OR(Tasks[[#This Row],[Task Name]]="",Tasks[[#This Row],[Baseline Duration]]=""),"",Tasks[[#This Row],[BL Source Duration]]-N(Tasks[[#This Row],[Baseline Duration]]))</f>
        <v/>
      </c>
      <c r="BL182" s="96" t="str">
        <f aca="false">IF(OR(Tasks[[#This Row],[Task Name]]="",Tasks[[#This Row],[Baseline Work]]=""),"",Tasks[[#This Row],[Work]]-N(Tasks[[#This Row],[Baseline Work]]))</f>
        <v/>
      </c>
      <c r="BM182" s="97" t="str">
        <f aca="false">IF(OR(Tasks[[#This Row],[Task Name]]="",Tasks[[#This Row],[Baseline Cost]]=""),"",Tasks[[#This Row],[Cost]]-N(Tasks[[#This Row],[Baseline Cost]]))</f>
        <v/>
      </c>
      <c r="BN182" s="97" t="str">
        <f aca="false">IF(Tasks[[#This Row],[Task Name]]="","",IF(Tasks[[#This Row],[_IsSummary]],SUM(INDEX(Tasks[_LeafBudget],Tasks[[#This Row],[_Row]]+1):INDEX(Tasks[_LeafBudget],Tasks[[#This Row],[_Row]]+Tasks[[#This Row],[_Descendants]])),Tasks[[#This Row],[_LeafBudget]]))</f>
        <v/>
      </c>
      <c r="BO182" s="97" t="str">
        <f aca="false">IF(Tasks[[#This Row],[Task Name]]="","",IF(Tasks[[#This Row],[_IsSummary]],SUM(INDEX(Tasks[_LeafPV],Tasks[[#This Row],[_Row]]+1):INDEX(Tasks[_LeafPV],Tasks[[#This Row],[_Row]]+Tasks[[#This Row],[_Descendants]])),Tasks[[#This Row],[_LeafPV]]))</f>
        <v/>
      </c>
      <c r="BP182" s="97" t="str">
        <f aca="false">IF(Tasks[[#This Row],[Task Name]]="","",IF(Tasks[[#This Row],[_IsSummary]],SUM(INDEX(Tasks[_LeafEV],Tasks[[#This Row],[_Row]]+1):INDEX(Tasks[_LeafEV],Tasks[[#This Row],[_Row]]+Tasks[[#This Row],[_Descendants]])),Tasks[[#This Row],[_LeafEV]]))</f>
        <v/>
      </c>
      <c r="BQ182" s="97" t="str">
        <f aca="false">IF(Tasks[[#This Row],[Task Name]]="","",IF(Tasks[[#This Row],[_IsSummary]],SUM(INDEX(Tasks[_LeafAC],Tasks[[#This Row],[_Row]]+1):INDEX(Tasks[_LeafAC],Tasks[[#This Row],[_Row]]+Tasks[[#This Row],[_Descendants]])),Tasks[[#This Row],[_LeafAC]]))</f>
        <v/>
      </c>
      <c r="BR182" s="41" t="str">
        <f aca="false">IF(Tasks[[#This Row],[Task Name]]="","",MAX(1,N(Tasks[[#This Row],[Level]])))</f>
        <v/>
      </c>
      <c r="BS182" s="41" t="n">
        <f aca="false">ROW()-ROW(Tasks[[#Headers],[ID]])</f>
        <v>177</v>
      </c>
      <c r="BT182" s="41" t="n">
        <f aca="false">IF(OR(Tasks[[#This Row],[Task Name]]="",Tasks[[#This Row],[_Level]]&lt;=1),0,IFERROR(LOOKUP(2,1/(Tasks[[#Headers],[_Level]]:Tasks[[#This Row],[_Level]]=Tasks[[#This Row],[_Level]]-1),ROW(Tasks[[#Headers],[_Level]]:Tasks[[#This Row],[_Level]])),0))</f>
        <v>0</v>
      </c>
      <c r="BU182" s="41" t="n">
        <f aca="false">IFERROR(N(INDEX(Tasks[_Level],Tasks[[#This Row],[_Row]]+1)),0)</f>
        <v>0</v>
      </c>
      <c r="BV182" s="100" t="b">
        <f aca="false">AND(Tasks[[#This Row],[Task Name]]&lt;&gt;"",Tasks[[#This Row],[_NextLevel]]&gt;Tasks[[#This Row],[_Level]])</f>
        <v>0</v>
      </c>
      <c r="BW182" s="41" t="n">
        <f aca="false">IF(Tasks[[#This Row],[_IsSummary]],COUNTIF(Tasks[WBS],Tasks[[#This Row],[WBS]]&amp;".*"),0)</f>
        <v>0</v>
      </c>
      <c r="BX182" s="41" t="n">
        <f aca="false">IF(AND(Tasks[[#This Row],[Task Name]]&lt;&gt;"",NOT(Tasks[[#This Row],[_IsSummary]])),1,0)</f>
        <v>0</v>
      </c>
      <c r="BY182" s="41" t="n">
        <f aca="false">IF(N(Tasks[[#This Row],[Pred1 UID]])=0,0,IFERROR(MATCH(Tasks[[#This Row],[Pred1 UID]],Tasks[UID],0),-1))</f>
        <v>0</v>
      </c>
      <c r="BZ182" s="41" t="n">
        <f aca="false">IF(N(Tasks[[#This Row],[Pred2 UID]])=0,0,IFERROR(MATCH(Tasks[[#This Row],[Pred2 UID]],Tasks[UID],0),-1))</f>
        <v>0</v>
      </c>
      <c r="CA182" s="41" t="n">
        <f aca="false">IF(N(Tasks[[#This Row],[Pred3 UID]])=0,0,IFERROR(MATCH(Tasks[[#This Row],[Pred3 UID]],Tasks[UID],0),-1))</f>
        <v>0</v>
      </c>
      <c r="CB182" s="41" t="n">
        <f aca="false">IF(N(Tasks[[#This Row],[Pred4 UID]])=0,0,IFERROR(MATCH(Tasks[[#This Row],[Pred4 UID]],Tasks[UID],0),-1))</f>
        <v>0</v>
      </c>
      <c r="CC1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2" s="101" t="n">
        <f aca="false">IF(OR(Tasks[[#This Row],[_ConstraintCode]]=2,Tasks[[#This Row],[_ConstraintCode]]=3,Tasks[[#This Row],[_ConstraintCode]]=4,Tasks[[#This Row],[_ConstraintCode]]=6),Tasks[[#This Row],[_ConstraintStart]],0)</f>
        <v>0</v>
      </c>
      <c r="CF182" s="101" t="n">
        <f aca="false">IF(OR(Tasks[[#This Row],[_ConstraintCode]]=2,Tasks[[#This Row],[_ConstraintCode]]=3,Tasks[[#This Row],[_ConstraintCode]]=5,Tasks[[#This Row],[_ConstraintCode]]=7),Tasks[[#This Row],[_ConstraintStart]],2958465)</f>
        <v>2958465</v>
      </c>
      <c r="CG18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2" s="101" t="str">
        <f aca="false">IF(NOT(Tasks[[#This Row],[_IsLeaf]]=1),"",IF(N(Tasks[[#This Row],[Duration]])&lt;=0,Tasks[[#This Row],[_LeafCalcStart]],WORKDAY.INTL(Tasks[[#This Row],[_LeafCalcStart]],Tasks[[#This Row],[Duration]]-1,WorkWeek,Holidays)))</f>
        <v/>
      </c>
      <c r="CI18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2" s="41" t="n">
        <f aca="false">IF(NOT(Tasks[[#This Row],[_IsLeaf]]=1),0,IF(N(Tasks[[#This Row],[Actual Finish]])&gt;0,1,MIN(1,N(Tasks[[#This Row],[% Complete]]))))</f>
        <v>0</v>
      </c>
      <c r="CL182" s="41" t="n">
        <f aca="false">IF(OR(NOT(Tasks[[#This Row],[_IsLeaf]]=1),Tasks[[#This Row],[Resource]]=""),0,N(Tasks[[#This Row],[Duration]])*HoursPerDay*IF(Tasks[[#This Row],[Units]]="",DefaultUnits,Tasks[[#This Row],[Units]]))</f>
        <v>0</v>
      </c>
      <c r="CM182" s="41" t="n">
        <f aca="false">IF(Tasks[[#This Row],[_LeafWork]]=0,0,Tasks[[#This Row],[_LeafWork]]*IFERROR(INDEX(res_Rate,MATCH(Tasks[[#This Row],[Resource]],res_Name,0)),0))</f>
        <v>0</v>
      </c>
      <c r="CN182" s="41" t="n">
        <f aca="false">Tasks[[#This Row],[_LeafWork]]+IF(Tasks[[#This Row],[_IsLeaf]]=1,SUMIFS(asg_Work,asg_TaskUID,Tasks[[#This Row],[UID]],asg_Valid,1),0)</f>
        <v>0</v>
      </c>
      <c r="CO182" s="41" t="n">
        <f aca="false">Tasks[[#This Row],[_LeafCost]]+IF(Tasks[[#This Row],[_IsLeaf]]=1,SUMIFS(asg_Cost,asg_TaskUID,Tasks[[#This Row],[UID]],asg_Valid,1),0)</f>
        <v>0</v>
      </c>
      <c r="CP182" s="41" t="n">
        <f aca="false">IF(Tasks[[#This Row],[_LeafTotalCost]]=0,Tasks[[#This Row],[_LeafAC]],Tasks[[#This Row],[_LeafAC]]*Tasks[[#This Row],[_LeafCost]]/Tasks[[#This Row],[_LeafTotalCost]])</f>
        <v>0</v>
      </c>
      <c r="CQ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2" s="41" t="n">
        <f aca="false">IF(NOT(Tasks[[#This Row],[_IsLeaf]]=1),0,MAX(_xlfn.MAXIFS(Tasks[_Row],Tasks[Pred1 UID],Tasks[[#This Row],[UID]]),_xlfn.MAXIFS(Tasks[_Row],Tasks[Pred2 UID],Tasks[[#This Row],[UID]]),_xlfn.MAXIFS(Tasks[_Row],Tasks[Pred3 UID],Tasks[[#This Row],[UID]]),_xlfn.MAXIFS(Tasks[_Row],Tasks[Pred4 UID],Tasks[[#This Row],[UID]])))</f>
        <v>0</v>
      </c>
      <c r="CZ1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2" s="101" t="str">
        <f aca="false">IF(NOT(Tasks[[#This Row],[_IsLeaf]]=1),"",IF(N(Tasks[[#This Row],[Duration]])&lt;=0,Tasks[[#This Row],[_LeafLateFinish]],WORKDAY.INTL(Tasks[[#This Row],[_LeafLateFinish]],-(Tasks[[#This Row],[Duration]]-1),WorkWeek,Holidays)))</f>
        <v/>
      </c>
      <c r="DC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2" s="100" t="b">
        <f aca="false">AND(Tasks[[#This Row],[_IsLeaf]]=1,Tasks[[#This Row],[_LeafProgress]]&lt;1,N(Tasks[[#This Row],[_LeafTotalSlack]])&lt;=CriticalSlackDays)</f>
        <v>0</v>
      </c>
      <c r="DE182" s="41" t="n">
        <f aca="false">IF(AND(Tasks[[#This Row],[_IsLeaf]]=1,Tasks[[#This Row],[_ConstraintCode]]=1,Tasks[[#This Row],[Mode]]&lt;&gt;"Manual",N(Tasks[[#This Row],[Actual Start]])=0),MAX(0,N(Tasks[[#This Row],[Free Slack]])),0)</f>
        <v>0</v>
      </c>
      <c r="DF182" s="101" t="str">
        <f aca="false">IF(NOT(Tasks[[#This Row],[_IsLeaf]]=1),"",IF(Tasks[[#This Row],[_AlapShift]]=0,Tasks[[#This Row],[_LeafCalcStart]],WORKDAY.INTL(Tasks[[#This Row],[_LeafCalcStart]],Tasks[[#This Row],[_AlapShift]],WorkWeek,Holidays)))</f>
        <v/>
      </c>
      <c r="DG182" s="101" t="str">
        <f aca="false">IF(NOT(Tasks[[#This Row],[_IsLeaf]]=1),"",IF(Tasks[[#This Row],[_AlapShift]]=0,Tasks[[#This Row],[_LeafCalcFinish]],WORKDAY.INTL(Tasks[[#This Row],[_LeafCalcFinish]],Tasks[[#This Row],[_AlapShift]],WorkWeek,Holidays)))</f>
        <v/>
      </c>
      <c r="DH182" s="101" t="str">
        <f aca="false">IF(NOT(Tasks[[#This Row],[_IsLeaf]]=1),"",IF(Tasks[[#This Row],[_AlapShift]]=0,Tasks[[#This Row],[_LeafFcstStart]],WORKDAY.INTL(Tasks[[#This Row],[_LeafFcstStart]],Tasks[[#This Row],[_AlapShift]],WorkWeek,Holidays)))</f>
        <v/>
      </c>
      <c r="DI182" s="101" t="str">
        <f aca="false">IF(NOT(Tasks[[#This Row],[_IsLeaf]]=1),"",IF(Tasks[[#This Row],[_AlapShift]]=0,Tasks[[#This Row],[_LeafFcstFinish]],WORKDAY.INTL(Tasks[[#This Row],[_LeafFcstFinish]],Tasks[[#This Row],[_AlapShift]],WorkWeek,Holidays)))</f>
        <v/>
      </c>
      <c r="DJ182" s="101" t="str">
        <f aca="false">IF(Tasks[[#This Row],[Task Name]]="","",IF(Tasks[[#This Row],[_IsSummary]],MIN(INDEX(Tasks[_ShownCalcStart],Tasks[[#This Row],[_Row]]+1):INDEX(Tasks[_ShownCalcStart],Tasks[[#This Row],[_Row]]+Tasks[[#This Row],[_Descendants]])),Tasks[[#This Row],[_ShownCalcStart]]))</f>
        <v/>
      </c>
      <c r="DK182" s="101" t="str">
        <f aca="false">IF(Tasks[[#This Row],[Task Name]]="","",IF(Tasks[[#This Row],[_IsSummary]],MAX(INDEX(Tasks[_ShownCalcFinish],Tasks[[#This Row],[_Row]]+1):INDEX(Tasks[_ShownCalcFinish],Tasks[[#This Row],[_Row]]+Tasks[[#This Row],[_Descendants]])),Tasks[[#This Row],[_ShownCalcFinish]]))</f>
        <v/>
      </c>
      <c r="D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2" s="41" t="n">
        <f aca="false">IF(AND(Tasks[[#This Row],[_IsLeaf]]=1,Tasks[[#This Row],[_LeafTotalWork]]&gt;0),NETWORKDAYS.INTL(ProjectStart,Tasks[[#This Row],[_ShownFcstStart]],WorkWeek,Holidays),0)</f>
        <v>0</v>
      </c>
      <c r="DY182" s="41" t="n">
        <f aca="false">IF(AND(Tasks[[#This Row],[_IsLeaf]]=1,Tasks[[#This Row],[_LeafTotalWork]]&gt;0),MAX(Tasks[[#This Row],[_StartWorkday]],NETWORKDAYS.INTL(ProjectStart,Tasks[[#This Row],[_ShownFcstFinish]],WorkWeek,Holidays)),0)</f>
        <v>0</v>
      </c>
      <c r="DZ182" s="41" t="n">
        <f aca="false">IF(AND(Tasks[[#This Row],[_IsLeaf]]=1,Tasks[[#This Row],[_LeafTotalWork]]&gt;0),Tasks[[#This Row],[_LeafWork]]/(Tasks[[#This Row],[_FinishWorkday]]-Tasks[[#This Row],[_StartWorkday]]+1),0)</f>
        <v>0</v>
      </c>
      <c r="EA182" s="41" t="n">
        <f aca="false">Tasks[[#This Row],[_WorkPerWorkday]]*(Tasks[[#This Row],[_StartWorkday]]-1)</f>
        <v>-0</v>
      </c>
      <c r="EB182" s="41" t="n">
        <f aca="false">IF(Tasks[[#This Row],[_IsLeaf]]=1,MAX(N(Tasks[[#This Row],[Duration]]),0.1),0)</f>
        <v>0</v>
      </c>
      <c r="EC182" s="41" t="n">
        <f aca="false">Tasks[[#This Row],[_WeightDur]]*Tasks[[#This Row],[_LeafProgress]]</f>
        <v>0</v>
      </c>
      <c r="ED1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2" s="41" t="str">
        <f aca="false">IF(AND(Tasks[[#This Row],[_IsLeaf]]=1,N(Tasks[[#This Row],[Duration]])=0,Tasks[[#This Row],[_LeafProgress]]&lt;1),Tasks[[#This Row],[_ShownFcstFinish]]+Tasks[[#This Row],[_Row]]/100000,"")</f>
        <v/>
      </c>
      <c r="EF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2" s="41" t="n">
        <f aca="false">IF(NOT(Tasks[[#This Row],[_IsLeaf]]=1),0,IF(Tasks[[#This Row],[Baseline Cost]]="",Tasks[[#This Row],[_LeafTotalCost]],N(Tasks[[#This Row],[Baseline Cost]])))</f>
        <v>0</v>
      </c>
      <c r="EH182" s="41" t="n">
        <f aca="false">Tasks[[#This Row],[_LeafBudget]]*Tasks[[#This Row],[_PlannedPct]]</f>
        <v>0</v>
      </c>
      <c r="EI182" s="41" t="n">
        <f aca="false">Tasks[[#This Row],[_LeafBudget]]*Tasks[[#This Row],[_LeafProgress]]</f>
        <v>0</v>
      </c>
      <c r="EJ182" s="41" t="n">
        <f aca="false">IF(NOT(Tasks[[#This Row],[_IsLeaf]]=1),0,IF(Tasks[[#This Row],[Actual Cost]]="",Tasks[[#This Row],[_LeafTotalCost]]*Tasks[[#This Row],[_LeafProgress]],N(Tasks[[#This Row],[Actual Cost]])))</f>
        <v>0</v>
      </c>
      <c r="EK182" s="41" t="str">
        <f aca="false">IF(Tasks[[#This Row],[Task Name]]="","",LEFT(Tasks[[#This Row],[WBS]],FIND(".",Tasks[[#This Row],[WBS]]&amp;".")-1))</f>
        <v/>
      </c>
      <c r="EL182" s="41" t="str">
        <f aca="false">IF(AND(Tasks[[#This Row],[Task Name]]&lt;&gt;"",Tasks[[#This Row],[_Level]]=1),Tasks[[#This Row],[_Row]],"")</f>
        <v/>
      </c>
      <c r="EM182" s="41" t="str">
        <f aca="false">IF(AND(Tasks[[#This Row],[_IsLeaf]]=1,N(Tasks[[#This Row],[Duration]])=0),Tasks[[#This Row],[Planned Finish]]+Tasks[[#This Row],[_Row]]/100000,"")</f>
        <v/>
      </c>
      <c r="EN182" s="41" t="str">
        <f aca="false">IF(AND(Tasks[[#This Row],[_IsLeaf]]=1,Tasks[[#This Row],[_LeafProgress]]&lt;1,OR(N(Tasks[[#This Row],[Finish Var]])&gt;0,Tasks[[#This Row],[Status]]="Late Start")),MAX(0,Tasks[[#This Row],[Finish Var]])+1-Tasks[[#This Row],[_Row]]/1000000,"")</f>
        <v/>
      </c>
      <c r="EO182" s="41" t="str">
        <f aca="false">IF(AND(Tasks[[#This Row],[_IsLeaf]]=1,N(Tasks[[#This Row],[Actual Start]])=0,Tasks[[#This Row],[_ShownFcstStart]]&gt;=StatusDate,Tasks[[#This Row],[_ShownFcstStart]]&lt;=LookaheadEnd),Tasks[[#This Row],[_ShownFcstStart]]+Tasks[[#This Row],[_Row]]/100000,"")</f>
        <v/>
      </c>
      <c r="EP182" s="41" t="str">
        <f aca="false">IF(AND(Tasks[[#This Row],[_IsLeaf]]=1,Tasks[[#This Row],[_LeafProgress]]&lt;1,Tasks[[#This Row],[_ShownFcstFinish]]&gt;=StatusDate,Tasks[[#This Row],[_ShownFcstFinish]]&lt;=LookaheadEnd),Tasks[[#This Row],[_ShownFcstFinish]]+Tasks[[#This Row],[_Row]]/100000,"")</f>
        <v/>
      </c>
      <c r="EQ182" s="41" t="str">
        <f aca="false">IF(Tasks[[#This Row],[_LeafCritical]],Tasks[[#This Row],[_ShownFcstStart]]+Tasks[[#This Row],[_Row]]/100000,"")</f>
        <v/>
      </c>
      <c r="ER182" s="41" t="n">
        <f aca="false">Tasks[[#This Row],[_LeafWork]]*Tasks[[#This Row],[_LeafProgress]]</f>
        <v>0</v>
      </c>
      <c r="ES182" s="101" t="str">
        <f aca="false">IF(AND(Tasks[[#This Row],[_IsLeaf]]=1,Tasks[[#This Row],[_LeafProgress]]&gt;=1),IF(N(Tasks[[#This Row],[Actual Finish]])&gt;0,Tasks[[#This Row],[Actual Finish]],Tasks[[#This Row],[_ShownFcstFinish]]),"")</f>
        <v/>
      </c>
      <c r="ET182" s="41" t="n">
        <f aca="false">IF(Tasks[[#This Row],[_IsLeaf]]=1,N(Tasks[[#This Row],[Story Points]]),0)</f>
        <v>0</v>
      </c>
      <c r="EU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29"/>
      <c r="O183" s="29"/>
      <c r="P183" s="29"/>
      <c r="Q183" s="29"/>
      <c r="R183" s="29"/>
      <c r="S183" s="29"/>
      <c r="T183" s="30"/>
      <c r="U183" s="75"/>
      <c r="V183" s="75"/>
      <c r="W183" s="25" t="str">
        <f aca="false">IF(Tasks[[#This Row],[Task Name]]="","",IF(N(Tasks[[#This Row],[Baseline Start]])&gt;0,Tasks[[#This Row],[Baseline Start]],Tasks[[#This Row],[_CalcStart]]))</f>
        <v/>
      </c>
      <c r="X183" s="25" t="str">
        <f aca="false">IF(Tasks[[#This Row],[Task Name]]="","",IF(N(Tasks[[#This Row],[Baseline Finish]])&gt;0,Tasks[[#This Row],[Baseline Finish]],Tasks[[#This Row],[_CalcFinish]]))</f>
        <v/>
      </c>
      <c r="Y183" s="75"/>
      <c r="Z183" s="75"/>
      <c r="AA183" s="25" t="str">
        <f aca="false">IF(Tasks[[#This Row],[Task Name]]="","",IF(Tasks[[#This Row],[_IsSummary]],MIN(INDEX(Tasks[_ShownFcstStart],Tasks[[#This Row],[_Row]]+1):INDEX(Tasks[_ShownFcstStart],Tasks[[#This Row],[_Row]]+Tasks[[#This Row],[_Descendants]])),Tasks[[#This Row],[_ShownFcstStart]]))</f>
        <v/>
      </c>
      <c r="AB183" s="25" t="str">
        <f aca="false">IF(Tasks[[#This Row],[Task Name]]="","",IF(Tasks[[#This Row],[_IsSummary]],MAX(INDEX(Tasks[_ShownFcstFinish],Tasks[[#This Row],[_Row]]+1):INDEX(Tasks[_ShownFcstFinish],Tasks[[#This Row],[_Row]]+Tasks[[#This Row],[_Descendants]])),Tasks[[#This Row],[_ShownFcstFinish]]))</f>
        <v/>
      </c>
      <c r="AC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3" s="25" t="str">
        <f aca="false">IF(Tasks[[#This Row],[Task Name]]="","",IF(Tasks[[#This Row],[_IsSummary]],MIN(INDEX(Tasks[_LeafLateStart],Tasks[[#This Row],[_Row]]+1):INDEX(Tasks[_LeafLateStart],Tasks[[#This Row],[_Row]]+Tasks[[#This Row],[_Descendants]])),Tasks[[#This Row],[_LeafLateStart]]))</f>
        <v/>
      </c>
      <c r="AF183" s="25" t="str">
        <f aca="false">IF(Tasks[[#This Row],[Task Name]]="","",IF(Tasks[[#This Row],[_IsSummary]],MAX(INDEX(Tasks[_LeafLateFinish],Tasks[[#This Row],[_Row]]+1):INDEX(Tasks[_LeafLateFinish],Tasks[[#This Row],[_Row]]+Tasks[[#This Row],[_Descendants]])),Tasks[[#This Row],[_LeafLateFinish]]))</f>
        <v/>
      </c>
      <c r="AG183" s="28" t="str">
        <f aca="false">IF(Tasks[[#This Row],[Task Name]]="","",IF(Tasks[[#This Row],[_IsSummary]],MIN(INDEX(Tasks[_LeafTotalSlack],Tasks[[#This Row],[_Row]]+1):INDEX(Tasks[_LeafTotalSlack],Tasks[[#This Row],[_Row]]+Tasks[[#This Row],[_Descendants]])),Tasks[[#This Row],[_LeafTotalSlack]]))</f>
        <v/>
      </c>
      <c r="AH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3" s="28" t="str">
        <f aca="false">IF(Tasks[[#This Row],[Task Name]]="","",IF(IF(Tasks[[#This Row],[_IsSummary]],COUNTIF(INDEX(Tasks[_LeafCritical],Tasks[[#This Row],[_Row]]+1):INDEX(Tasks[_LeafCritical],Tasks[[#This Row],[_Row]]+Tasks[[#This Row],[_Descendants]]),TRUE())&gt;0,Tasks[[#This Row],[_LeafCritical]]),"Yes",""))</f>
        <v/>
      </c>
      <c r="AJ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3" s="89"/>
      <c r="AM1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3" s="28" t="str">
        <f aca="false">IF(Tasks[[#This Row],[Task Name]]="","",IF(Tasks[[#This Row],[Progress]]&gt;=1,"Complete",IF(OR(N(Tasks[[#This Row],[Actual Start]])&gt;0,Tasks[[#This Row],[Progress]]&gt;0),IF(Tasks[[#This Row],[Finish Var]]&gt;0,"Behind","In Progress"),IF(Tasks[[#This Row],[Planned Start]]&lt;StatusDate,"Late Start","Not Started"))))</f>
        <v/>
      </c>
      <c r="AO183" s="30"/>
      <c r="AP183" s="89"/>
      <c r="AQ1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3" s="96" t="str">
        <f aca="false">IF(Tasks[[#This Row],[Task Name]]="","",IF(Tasks[[#This Row],[_IsSummary]],SUM(INDEX(Tasks[_LeafTotalWork],Tasks[[#This Row],[_Row]]+1):INDEX(Tasks[_LeafTotalWork],Tasks[[#This Row],[_Row]]+Tasks[[#This Row],[_Descendants]])),Tasks[[#This Row],[_LeafTotalWork]]))</f>
        <v/>
      </c>
      <c r="AT183" s="97" t="str">
        <f aca="false">IF(Tasks[[#This Row],[Task Name]]="","",IF(Tasks[[#This Row],[_IsSummary]],SUM(INDEX(Tasks[_LeafTotalCost],Tasks[[#This Row],[_Row]]+1):INDEX(Tasks[_LeafTotalCost],Tasks[[#This Row],[_Row]]+Tasks[[#This Row],[_Descendants]])),Tasks[[#This Row],[_LeafTotalCost]]))</f>
        <v/>
      </c>
      <c r="AU183" s="98"/>
      <c r="AV183" s="29"/>
      <c r="AW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3" s="83"/>
      <c r="AY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3" s="30"/>
      <c r="BA183" s="25" t="str">
        <f aca="false">IF(Tasks[[#This Row],[Task Name]]="","",Tasks[[#This Row],[Forecast Start]])</f>
        <v/>
      </c>
      <c r="BB183" s="25" t="str">
        <f aca="false">IF(Tasks[[#This Row],[Task Name]]="","",Tasks[[#This Row],[Forecast Finish]])</f>
        <v/>
      </c>
      <c r="BC183" s="28" t="str">
        <f aca="false">IF(Tasks[[#This Row],[Task Name]]="","",IF(Tasks[[#This Row],[_IsSummary]],NETWORKDAYS.INTL(Tasks[[#This Row],[Forecast Start]],Tasks[[#This Row],[Forecast Finish]],WorkWeek,Holidays),N(Tasks[[#This Row],[Duration]])))</f>
        <v/>
      </c>
      <c r="BD183" s="96" t="str">
        <f aca="false">IF(Tasks[[#This Row],[Task Name]]="","",Tasks[[#This Row],[Work]])</f>
        <v/>
      </c>
      <c r="BE183" s="97" t="str">
        <f aca="false">IF(Tasks[[#This Row],[Task Name]]="","",Tasks[[#This Row],[Cost]])</f>
        <v/>
      </c>
      <c r="BF183" s="75"/>
      <c r="BG183" s="75"/>
      <c r="BH183" s="29"/>
      <c r="BI183" s="99"/>
      <c r="BJ183" s="98"/>
      <c r="BK183" s="28" t="str">
        <f aca="false">IF(OR(Tasks[[#This Row],[Task Name]]="",Tasks[[#This Row],[Baseline Duration]]=""),"",Tasks[[#This Row],[BL Source Duration]]-N(Tasks[[#This Row],[Baseline Duration]]))</f>
        <v/>
      </c>
      <c r="BL183" s="96" t="str">
        <f aca="false">IF(OR(Tasks[[#This Row],[Task Name]]="",Tasks[[#This Row],[Baseline Work]]=""),"",Tasks[[#This Row],[Work]]-N(Tasks[[#This Row],[Baseline Work]]))</f>
        <v/>
      </c>
      <c r="BM183" s="97" t="str">
        <f aca="false">IF(OR(Tasks[[#This Row],[Task Name]]="",Tasks[[#This Row],[Baseline Cost]]=""),"",Tasks[[#This Row],[Cost]]-N(Tasks[[#This Row],[Baseline Cost]]))</f>
        <v/>
      </c>
      <c r="BN183" s="97" t="str">
        <f aca="false">IF(Tasks[[#This Row],[Task Name]]="","",IF(Tasks[[#This Row],[_IsSummary]],SUM(INDEX(Tasks[_LeafBudget],Tasks[[#This Row],[_Row]]+1):INDEX(Tasks[_LeafBudget],Tasks[[#This Row],[_Row]]+Tasks[[#This Row],[_Descendants]])),Tasks[[#This Row],[_LeafBudget]]))</f>
        <v/>
      </c>
      <c r="BO183" s="97" t="str">
        <f aca="false">IF(Tasks[[#This Row],[Task Name]]="","",IF(Tasks[[#This Row],[_IsSummary]],SUM(INDEX(Tasks[_LeafPV],Tasks[[#This Row],[_Row]]+1):INDEX(Tasks[_LeafPV],Tasks[[#This Row],[_Row]]+Tasks[[#This Row],[_Descendants]])),Tasks[[#This Row],[_LeafPV]]))</f>
        <v/>
      </c>
      <c r="BP183" s="97" t="str">
        <f aca="false">IF(Tasks[[#This Row],[Task Name]]="","",IF(Tasks[[#This Row],[_IsSummary]],SUM(INDEX(Tasks[_LeafEV],Tasks[[#This Row],[_Row]]+1):INDEX(Tasks[_LeafEV],Tasks[[#This Row],[_Row]]+Tasks[[#This Row],[_Descendants]])),Tasks[[#This Row],[_LeafEV]]))</f>
        <v/>
      </c>
      <c r="BQ183" s="97" t="str">
        <f aca="false">IF(Tasks[[#This Row],[Task Name]]="","",IF(Tasks[[#This Row],[_IsSummary]],SUM(INDEX(Tasks[_LeafAC],Tasks[[#This Row],[_Row]]+1):INDEX(Tasks[_LeafAC],Tasks[[#This Row],[_Row]]+Tasks[[#This Row],[_Descendants]])),Tasks[[#This Row],[_LeafAC]]))</f>
        <v/>
      </c>
      <c r="BR183" s="41" t="str">
        <f aca="false">IF(Tasks[[#This Row],[Task Name]]="","",MAX(1,N(Tasks[[#This Row],[Level]])))</f>
        <v/>
      </c>
      <c r="BS183" s="41" t="n">
        <f aca="false">ROW()-ROW(Tasks[[#Headers],[ID]])</f>
        <v>178</v>
      </c>
      <c r="BT183" s="41" t="n">
        <f aca="false">IF(OR(Tasks[[#This Row],[Task Name]]="",Tasks[[#This Row],[_Level]]&lt;=1),0,IFERROR(LOOKUP(2,1/(Tasks[[#Headers],[_Level]]:Tasks[[#This Row],[_Level]]=Tasks[[#This Row],[_Level]]-1),ROW(Tasks[[#Headers],[_Level]]:Tasks[[#This Row],[_Level]])),0))</f>
        <v>0</v>
      </c>
      <c r="BU183" s="41" t="n">
        <f aca="false">IFERROR(N(INDEX(Tasks[_Level],Tasks[[#This Row],[_Row]]+1)),0)</f>
        <v>0</v>
      </c>
      <c r="BV183" s="100" t="b">
        <f aca="false">AND(Tasks[[#This Row],[Task Name]]&lt;&gt;"",Tasks[[#This Row],[_NextLevel]]&gt;Tasks[[#This Row],[_Level]])</f>
        <v>0</v>
      </c>
      <c r="BW183" s="41" t="n">
        <f aca="false">IF(Tasks[[#This Row],[_IsSummary]],COUNTIF(Tasks[WBS],Tasks[[#This Row],[WBS]]&amp;".*"),0)</f>
        <v>0</v>
      </c>
      <c r="BX183" s="41" t="n">
        <f aca="false">IF(AND(Tasks[[#This Row],[Task Name]]&lt;&gt;"",NOT(Tasks[[#This Row],[_IsSummary]])),1,0)</f>
        <v>0</v>
      </c>
      <c r="BY183" s="41" t="n">
        <f aca="false">IF(N(Tasks[[#This Row],[Pred1 UID]])=0,0,IFERROR(MATCH(Tasks[[#This Row],[Pred1 UID]],Tasks[UID],0),-1))</f>
        <v>0</v>
      </c>
      <c r="BZ183" s="41" t="n">
        <f aca="false">IF(N(Tasks[[#This Row],[Pred2 UID]])=0,0,IFERROR(MATCH(Tasks[[#This Row],[Pred2 UID]],Tasks[UID],0),-1))</f>
        <v>0</v>
      </c>
      <c r="CA183" s="41" t="n">
        <f aca="false">IF(N(Tasks[[#This Row],[Pred3 UID]])=0,0,IFERROR(MATCH(Tasks[[#This Row],[Pred3 UID]],Tasks[UID],0),-1))</f>
        <v>0</v>
      </c>
      <c r="CB183" s="41" t="n">
        <f aca="false">IF(N(Tasks[[#This Row],[Pred4 UID]])=0,0,IFERROR(MATCH(Tasks[[#This Row],[Pred4 UID]],Tasks[UID],0),-1))</f>
        <v>0</v>
      </c>
      <c r="CC1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3" s="101" t="n">
        <f aca="false">IF(OR(Tasks[[#This Row],[_ConstraintCode]]=2,Tasks[[#This Row],[_ConstraintCode]]=3,Tasks[[#This Row],[_ConstraintCode]]=4,Tasks[[#This Row],[_ConstraintCode]]=6),Tasks[[#This Row],[_ConstraintStart]],0)</f>
        <v>0</v>
      </c>
      <c r="CF183" s="101" t="n">
        <f aca="false">IF(OR(Tasks[[#This Row],[_ConstraintCode]]=2,Tasks[[#This Row],[_ConstraintCode]]=3,Tasks[[#This Row],[_ConstraintCode]]=5,Tasks[[#This Row],[_ConstraintCode]]=7),Tasks[[#This Row],[_ConstraintStart]],2958465)</f>
        <v>2958465</v>
      </c>
      <c r="CG18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3" s="101" t="str">
        <f aca="false">IF(NOT(Tasks[[#This Row],[_IsLeaf]]=1),"",IF(N(Tasks[[#This Row],[Duration]])&lt;=0,Tasks[[#This Row],[_LeafCalcStart]],WORKDAY.INTL(Tasks[[#This Row],[_LeafCalcStart]],Tasks[[#This Row],[Duration]]-1,WorkWeek,Holidays)))</f>
        <v/>
      </c>
      <c r="CI18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3" s="41" t="n">
        <f aca="false">IF(NOT(Tasks[[#This Row],[_IsLeaf]]=1),0,IF(N(Tasks[[#This Row],[Actual Finish]])&gt;0,1,MIN(1,N(Tasks[[#This Row],[% Complete]]))))</f>
        <v>0</v>
      </c>
      <c r="CL183" s="41" t="n">
        <f aca="false">IF(OR(NOT(Tasks[[#This Row],[_IsLeaf]]=1),Tasks[[#This Row],[Resource]]=""),0,N(Tasks[[#This Row],[Duration]])*HoursPerDay*IF(Tasks[[#This Row],[Units]]="",DefaultUnits,Tasks[[#This Row],[Units]]))</f>
        <v>0</v>
      </c>
      <c r="CM183" s="41" t="n">
        <f aca="false">IF(Tasks[[#This Row],[_LeafWork]]=0,0,Tasks[[#This Row],[_LeafWork]]*IFERROR(INDEX(res_Rate,MATCH(Tasks[[#This Row],[Resource]],res_Name,0)),0))</f>
        <v>0</v>
      </c>
      <c r="CN183" s="41" t="n">
        <f aca="false">Tasks[[#This Row],[_LeafWork]]+IF(Tasks[[#This Row],[_IsLeaf]]=1,SUMIFS(asg_Work,asg_TaskUID,Tasks[[#This Row],[UID]],asg_Valid,1),0)</f>
        <v>0</v>
      </c>
      <c r="CO183" s="41" t="n">
        <f aca="false">Tasks[[#This Row],[_LeafCost]]+IF(Tasks[[#This Row],[_IsLeaf]]=1,SUMIFS(asg_Cost,asg_TaskUID,Tasks[[#This Row],[UID]],asg_Valid,1),0)</f>
        <v>0</v>
      </c>
      <c r="CP183" s="41" t="n">
        <f aca="false">IF(Tasks[[#This Row],[_LeafTotalCost]]=0,Tasks[[#This Row],[_LeafAC]],Tasks[[#This Row],[_LeafAC]]*Tasks[[#This Row],[_LeafCost]]/Tasks[[#This Row],[_LeafTotalCost]])</f>
        <v>0</v>
      </c>
      <c r="CQ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3" s="41" t="n">
        <f aca="false">IF(NOT(Tasks[[#This Row],[_IsLeaf]]=1),0,MAX(_xlfn.MAXIFS(Tasks[_Row],Tasks[Pred1 UID],Tasks[[#This Row],[UID]]),_xlfn.MAXIFS(Tasks[_Row],Tasks[Pred2 UID],Tasks[[#This Row],[UID]]),_xlfn.MAXIFS(Tasks[_Row],Tasks[Pred3 UID],Tasks[[#This Row],[UID]]),_xlfn.MAXIFS(Tasks[_Row],Tasks[Pred4 UID],Tasks[[#This Row],[UID]])))</f>
        <v>0</v>
      </c>
      <c r="CZ1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3" s="101" t="str">
        <f aca="false">IF(NOT(Tasks[[#This Row],[_IsLeaf]]=1),"",IF(N(Tasks[[#This Row],[Duration]])&lt;=0,Tasks[[#This Row],[_LeafLateFinish]],WORKDAY.INTL(Tasks[[#This Row],[_LeafLateFinish]],-(Tasks[[#This Row],[Duration]]-1),WorkWeek,Holidays)))</f>
        <v/>
      </c>
      <c r="DC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3" s="100" t="b">
        <f aca="false">AND(Tasks[[#This Row],[_IsLeaf]]=1,Tasks[[#This Row],[_LeafProgress]]&lt;1,N(Tasks[[#This Row],[_LeafTotalSlack]])&lt;=CriticalSlackDays)</f>
        <v>0</v>
      </c>
      <c r="DE183" s="41" t="n">
        <f aca="false">IF(AND(Tasks[[#This Row],[_IsLeaf]]=1,Tasks[[#This Row],[_ConstraintCode]]=1,Tasks[[#This Row],[Mode]]&lt;&gt;"Manual",N(Tasks[[#This Row],[Actual Start]])=0),MAX(0,N(Tasks[[#This Row],[Free Slack]])),0)</f>
        <v>0</v>
      </c>
      <c r="DF183" s="101" t="str">
        <f aca="false">IF(NOT(Tasks[[#This Row],[_IsLeaf]]=1),"",IF(Tasks[[#This Row],[_AlapShift]]=0,Tasks[[#This Row],[_LeafCalcStart]],WORKDAY.INTL(Tasks[[#This Row],[_LeafCalcStart]],Tasks[[#This Row],[_AlapShift]],WorkWeek,Holidays)))</f>
        <v/>
      </c>
      <c r="DG183" s="101" t="str">
        <f aca="false">IF(NOT(Tasks[[#This Row],[_IsLeaf]]=1),"",IF(Tasks[[#This Row],[_AlapShift]]=0,Tasks[[#This Row],[_LeafCalcFinish]],WORKDAY.INTL(Tasks[[#This Row],[_LeafCalcFinish]],Tasks[[#This Row],[_AlapShift]],WorkWeek,Holidays)))</f>
        <v/>
      </c>
      <c r="DH183" s="101" t="str">
        <f aca="false">IF(NOT(Tasks[[#This Row],[_IsLeaf]]=1),"",IF(Tasks[[#This Row],[_AlapShift]]=0,Tasks[[#This Row],[_LeafFcstStart]],WORKDAY.INTL(Tasks[[#This Row],[_LeafFcstStart]],Tasks[[#This Row],[_AlapShift]],WorkWeek,Holidays)))</f>
        <v/>
      </c>
      <c r="DI183" s="101" t="str">
        <f aca="false">IF(NOT(Tasks[[#This Row],[_IsLeaf]]=1),"",IF(Tasks[[#This Row],[_AlapShift]]=0,Tasks[[#This Row],[_LeafFcstFinish]],WORKDAY.INTL(Tasks[[#This Row],[_LeafFcstFinish]],Tasks[[#This Row],[_AlapShift]],WorkWeek,Holidays)))</f>
        <v/>
      </c>
      <c r="DJ183" s="101" t="str">
        <f aca="false">IF(Tasks[[#This Row],[Task Name]]="","",IF(Tasks[[#This Row],[_IsSummary]],MIN(INDEX(Tasks[_ShownCalcStart],Tasks[[#This Row],[_Row]]+1):INDEX(Tasks[_ShownCalcStart],Tasks[[#This Row],[_Row]]+Tasks[[#This Row],[_Descendants]])),Tasks[[#This Row],[_ShownCalcStart]]))</f>
        <v/>
      </c>
      <c r="DK183" s="101" t="str">
        <f aca="false">IF(Tasks[[#This Row],[Task Name]]="","",IF(Tasks[[#This Row],[_IsSummary]],MAX(INDEX(Tasks[_ShownCalcFinish],Tasks[[#This Row],[_Row]]+1):INDEX(Tasks[_ShownCalcFinish],Tasks[[#This Row],[_Row]]+Tasks[[#This Row],[_Descendants]])),Tasks[[#This Row],[_ShownCalcFinish]]))</f>
        <v/>
      </c>
      <c r="D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3" s="41" t="n">
        <f aca="false">IF(AND(Tasks[[#This Row],[_IsLeaf]]=1,Tasks[[#This Row],[_LeafTotalWork]]&gt;0),NETWORKDAYS.INTL(ProjectStart,Tasks[[#This Row],[_ShownFcstStart]],WorkWeek,Holidays),0)</f>
        <v>0</v>
      </c>
      <c r="DY183" s="41" t="n">
        <f aca="false">IF(AND(Tasks[[#This Row],[_IsLeaf]]=1,Tasks[[#This Row],[_LeafTotalWork]]&gt;0),MAX(Tasks[[#This Row],[_StartWorkday]],NETWORKDAYS.INTL(ProjectStart,Tasks[[#This Row],[_ShownFcstFinish]],WorkWeek,Holidays)),0)</f>
        <v>0</v>
      </c>
      <c r="DZ183" s="41" t="n">
        <f aca="false">IF(AND(Tasks[[#This Row],[_IsLeaf]]=1,Tasks[[#This Row],[_LeafTotalWork]]&gt;0),Tasks[[#This Row],[_LeafWork]]/(Tasks[[#This Row],[_FinishWorkday]]-Tasks[[#This Row],[_StartWorkday]]+1),0)</f>
        <v>0</v>
      </c>
      <c r="EA183" s="41" t="n">
        <f aca="false">Tasks[[#This Row],[_WorkPerWorkday]]*(Tasks[[#This Row],[_StartWorkday]]-1)</f>
        <v>-0</v>
      </c>
      <c r="EB183" s="41" t="n">
        <f aca="false">IF(Tasks[[#This Row],[_IsLeaf]]=1,MAX(N(Tasks[[#This Row],[Duration]]),0.1),0)</f>
        <v>0</v>
      </c>
      <c r="EC183" s="41" t="n">
        <f aca="false">Tasks[[#This Row],[_WeightDur]]*Tasks[[#This Row],[_LeafProgress]]</f>
        <v>0</v>
      </c>
      <c r="ED1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3" s="41" t="str">
        <f aca="false">IF(AND(Tasks[[#This Row],[_IsLeaf]]=1,N(Tasks[[#This Row],[Duration]])=0,Tasks[[#This Row],[_LeafProgress]]&lt;1),Tasks[[#This Row],[_ShownFcstFinish]]+Tasks[[#This Row],[_Row]]/100000,"")</f>
        <v/>
      </c>
      <c r="EF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3" s="41" t="n">
        <f aca="false">IF(NOT(Tasks[[#This Row],[_IsLeaf]]=1),0,IF(Tasks[[#This Row],[Baseline Cost]]="",Tasks[[#This Row],[_LeafTotalCost]],N(Tasks[[#This Row],[Baseline Cost]])))</f>
        <v>0</v>
      </c>
      <c r="EH183" s="41" t="n">
        <f aca="false">Tasks[[#This Row],[_LeafBudget]]*Tasks[[#This Row],[_PlannedPct]]</f>
        <v>0</v>
      </c>
      <c r="EI183" s="41" t="n">
        <f aca="false">Tasks[[#This Row],[_LeafBudget]]*Tasks[[#This Row],[_LeafProgress]]</f>
        <v>0</v>
      </c>
      <c r="EJ183" s="41" t="n">
        <f aca="false">IF(NOT(Tasks[[#This Row],[_IsLeaf]]=1),0,IF(Tasks[[#This Row],[Actual Cost]]="",Tasks[[#This Row],[_LeafTotalCost]]*Tasks[[#This Row],[_LeafProgress]],N(Tasks[[#This Row],[Actual Cost]])))</f>
        <v>0</v>
      </c>
      <c r="EK183" s="41" t="str">
        <f aca="false">IF(Tasks[[#This Row],[Task Name]]="","",LEFT(Tasks[[#This Row],[WBS]],FIND(".",Tasks[[#This Row],[WBS]]&amp;".")-1))</f>
        <v/>
      </c>
      <c r="EL183" s="41" t="str">
        <f aca="false">IF(AND(Tasks[[#This Row],[Task Name]]&lt;&gt;"",Tasks[[#This Row],[_Level]]=1),Tasks[[#This Row],[_Row]],"")</f>
        <v/>
      </c>
      <c r="EM183" s="41" t="str">
        <f aca="false">IF(AND(Tasks[[#This Row],[_IsLeaf]]=1,N(Tasks[[#This Row],[Duration]])=0),Tasks[[#This Row],[Planned Finish]]+Tasks[[#This Row],[_Row]]/100000,"")</f>
        <v/>
      </c>
      <c r="EN183" s="41" t="str">
        <f aca="false">IF(AND(Tasks[[#This Row],[_IsLeaf]]=1,Tasks[[#This Row],[_LeafProgress]]&lt;1,OR(N(Tasks[[#This Row],[Finish Var]])&gt;0,Tasks[[#This Row],[Status]]="Late Start")),MAX(0,Tasks[[#This Row],[Finish Var]])+1-Tasks[[#This Row],[_Row]]/1000000,"")</f>
        <v/>
      </c>
      <c r="EO183" s="41" t="str">
        <f aca="false">IF(AND(Tasks[[#This Row],[_IsLeaf]]=1,N(Tasks[[#This Row],[Actual Start]])=0,Tasks[[#This Row],[_ShownFcstStart]]&gt;=StatusDate,Tasks[[#This Row],[_ShownFcstStart]]&lt;=LookaheadEnd),Tasks[[#This Row],[_ShownFcstStart]]+Tasks[[#This Row],[_Row]]/100000,"")</f>
        <v/>
      </c>
      <c r="EP183" s="41" t="str">
        <f aca="false">IF(AND(Tasks[[#This Row],[_IsLeaf]]=1,Tasks[[#This Row],[_LeafProgress]]&lt;1,Tasks[[#This Row],[_ShownFcstFinish]]&gt;=StatusDate,Tasks[[#This Row],[_ShownFcstFinish]]&lt;=LookaheadEnd),Tasks[[#This Row],[_ShownFcstFinish]]+Tasks[[#This Row],[_Row]]/100000,"")</f>
        <v/>
      </c>
      <c r="EQ183" s="41" t="str">
        <f aca="false">IF(Tasks[[#This Row],[_LeafCritical]],Tasks[[#This Row],[_ShownFcstStart]]+Tasks[[#This Row],[_Row]]/100000,"")</f>
        <v/>
      </c>
      <c r="ER183" s="41" t="n">
        <f aca="false">Tasks[[#This Row],[_LeafWork]]*Tasks[[#This Row],[_LeafProgress]]</f>
        <v>0</v>
      </c>
      <c r="ES183" s="101" t="str">
        <f aca="false">IF(AND(Tasks[[#This Row],[_IsLeaf]]=1,Tasks[[#This Row],[_LeafProgress]]&gt;=1),IF(N(Tasks[[#This Row],[Actual Finish]])&gt;0,Tasks[[#This Row],[Actual Finish]],Tasks[[#This Row],[_ShownFcstFinish]]),"")</f>
        <v/>
      </c>
      <c r="ET183" s="41" t="n">
        <f aca="false">IF(Tasks[[#This Row],[_IsLeaf]]=1,N(Tasks[[#This Row],[Story Points]]),0)</f>
        <v>0</v>
      </c>
      <c r="EU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29"/>
      <c r="O184" s="29"/>
      <c r="P184" s="29"/>
      <c r="Q184" s="29"/>
      <c r="R184" s="29"/>
      <c r="S184" s="29"/>
      <c r="T184" s="30"/>
      <c r="U184" s="75"/>
      <c r="V184" s="75"/>
      <c r="W184" s="25" t="str">
        <f aca="false">IF(Tasks[[#This Row],[Task Name]]="","",IF(N(Tasks[[#This Row],[Baseline Start]])&gt;0,Tasks[[#This Row],[Baseline Start]],Tasks[[#This Row],[_CalcStart]]))</f>
        <v/>
      </c>
      <c r="X184" s="25" t="str">
        <f aca="false">IF(Tasks[[#This Row],[Task Name]]="","",IF(N(Tasks[[#This Row],[Baseline Finish]])&gt;0,Tasks[[#This Row],[Baseline Finish]],Tasks[[#This Row],[_CalcFinish]]))</f>
        <v/>
      </c>
      <c r="Y184" s="75"/>
      <c r="Z184" s="75"/>
      <c r="AA184" s="25" t="str">
        <f aca="false">IF(Tasks[[#This Row],[Task Name]]="","",IF(Tasks[[#This Row],[_IsSummary]],MIN(INDEX(Tasks[_ShownFcstStart],Tasks[[#This Row],[_Row]]+1):INDEX(Tasks[_ShownFcstStart],Tasks[[#This Row],[_Row]]+Tasks[[#This Row],[_Descendants]])),Tasks[[#This Row],[_ShownFcstStart]]))</f>
        <v/>
      </c>
      <c r="AB184" s="25" t="str">
        <f aca="false">IF(Tasks[[#This Row],[Task Name]]="","",IF(Tasks[[#This Row],[_IsSummary]],MAX(INDEX(Tasks[_ShownFcstFinish],Tasks[[#This Row],[_Row]]+1):INDEX(Tasks[_ShownFcstFinish],Tasks[[#This Row],[_Row]]+Tasks[[#This Row],[_Descendants]])),Tasks[[#This Row],[_ShownFcstFinish]]))</f>
        <v/>
      </c>
      <c r="AC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4" s="25" t="str">
        <f aca="false">IF(Tasks[[#This Row],[Task Name]]="","",IF(Tasks[[#This Row],[_IsSummary]],MIN(INDEX(Tasks[_LeafLateStart],Tasks[[#This Row],[_Row]]+1):INDEX(Tasks[_LeafLateStart],Tasks[[#This Row],[_Row]]+Tasks[[#This Row],[_Descendants]])),Tasks[[#This Row],[_LeafLateStart]]))</f>
        <v/>
      </c>
      <c r="AF184" s="25" t="str">
        <f aca="false">IF(Tasks[[#This Row],[Task Name]]="","",IF(Tasks[[#This Row],[_IsSummary]],MAX(INDEX(Tasks[_LeafLateFinish],Tasks[[#This Row],[_Row]]+1):INDEX(Tasks[_LeafLateFinish],Tasks[[#This Row],[_Row]]+Tasks[[#This Row],[_Descendants]])),Tasks[[#This Row],[_LeafLateFinish]]))</f>
        <v/>
      </c>
      <c r="AG184" s="28" t="str">
        <f aca="false">IF(Tasks[[#This Row],[Task Name]]="","",IF(Tasks[[#This Row],[_IsSummary]],MIN(INDEX(Tasks[_LeafTotalSlack],Tasks[[#This Row],[_Row]]+1):INDEX(Tasks[_LeafTotalSlack],Tasks[[#This Row],[_Row]]+Tasks[[#This Row],[_Descendants]])),Tasks[[#This Row],[_LeafTotalSlack]]))</f>
        <v/>
      </c>
      <c r="AH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4" s="28" t="str">
        <f aca="false">IF(Tasks[[#This Row],[Task Name]]="","",IF(IF(Tasks[[#This Row],[_IsSummary]],COUNTIF(INDEX(Tasks[_LeafCritical],Tasks[[#This Row],[_Row]]+1):INDEX(Tasks[_LeafCritical],Tasks[[#This Row],[_Row]]+Tasks[[#This Row],[_Descendants]]),TRUE())&gt;0,Tasks[[#This Row],[_LeafCritical]]),"Yes",""))</f>
        <v/>
      </c>
      <c r="AJ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4" s="89"/>
      <c r="AM1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4" s="28" t="str">
        <f aca="false">IF(Tasks[[#This Row],[Task Name]]="","",IF(Tasks[[#This Row],[Progress]]&gt;=1,"Complete",IF(OR(N(Tasks[[#This Row],[Actual Start]])&gt;0,Tasks[[#This Row],[Progress]]&gt;0),IF(Tasks[[#This Row],[Finish Var]]&gt;0,"Behind","In Progress"),IF(Tasks[[#This Row],[Planned Start]]&lt;StatusDate,"Late Start","Not Started"))))</f>
        <v/>
      </c>
      <c r="AO184" s="30"/>
      <c r="AP184" s="89"/>
      <c r="AQ1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4" s="96" t="str">
        <f aca="false">IF(Tasks[[#This Row],[Task Name]]="","",IF(Tasks[[#This Row],[_IsSummary]],SUM(INDEX(Tasks[_LeafTotalWork],Tasks[[#This Row],[_Row]]+1):INDEX(Tasks[_LeafTotalWork],Tasks[[#This Row],[_Row]]+Tasks[[#This Row],[_Descendants]])),Tasks[[#This Row],[_LeafTotalWork]]))</f>
        <v/>
      </c>
      <c r="AT184" s="97" t="str">
        <f aca="false">IF(Tasks[[#This Row],[Task Name]]="","",IF(Tasks[[#This Row],[_IsSummary]],SUM(INDEX(Tasks[_LeafTotalCost],Tasks[[#This Row],[_Row]]+1):INDEX(Tasks[_LeafTotalCost],Tasks[[#This Row],[_Row]]+Tasks[[#This Row],[_Descendants]])),Tasks[[#This Row],[_LeafTotalCost]]))</f>
        <v/>
      </c>
      <c r="AU184" s="98"/>
      <c r="AV184" s="29"/>
      <c r="AW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4" s="83"/>
      <c r="AY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4" s="30"/>
      <c r="BA184" s="25" t="str">
        <f aca="false">IF(Tasks[[#This Row],[Task Name]]="","",Tasks[[#This Row],[Forecast Start]])</f>
        <v/>
      </c>
      <c r="BB184" s="25" t="str">
        <f aca="false">IF(Tasks[[#This Row],[Task Name]]="","",Tasks[[#This Row],[Forecast Finish]])</f>
        <v/>
      </c>
      <c r="BC184" s="28" t="str">
        <f aca="false">IF(Tasks[[#This Row],[Task Name]]="","",IF(Tasks[[#This Row],[_IsSummary]],NETWORKDAYS.INTL(Tasks[[#This Row],[Forecast Start]],Tasks[[#This Row],[Forecast Finish]],WorkWeek,Holidays),N(Tasks[[#This Row],[Duration]])))</f>
        <v/>
      </c>
      <c r="BD184" s="96" t="str">
        <f aca="false">IF(Tasks[[#This Row],[Task Name]]="","",Tasks[[#This Row],[Work]])</f>
        <v/>
      </c>
      <c r="BE184" s="97" t="str">
        <f aca="false">IF(Tasks[[#This Row],[Task Name]]="","",Tasks[[#This Row],[Cost]])</f>
        <v/>
      </c>
      <c r="BF184" s="75"/>
      <c r="BG184" s="75"/>
      <c r="BH184" s="29"/>
      <c r="BI184" s="99"/>
      <c r="BJ184" s="98"/>
      <c r="BK184" s="28" t="str">
        <f aca="false">IF(OR(Tasks[[#This Row],[Task Name]]="",Tasks[[#This Row],[Baseline Duration]]=""),"",Tasks[[#This Row],[BL Source Duration]]-N(Tasks[[#This Row],[Baseline Duration]]))</f>
        <v/>
      </c>
      <c r="BL184" s="96" t="str">
        <f aca="false">IF(OR(Tasks[[#This Row],[Task Name]]="",Tasks[[#This Row],[Baseline Work]]=""),"",Tasks[[#This Row],[Work]]-N(Tasks[[#This Row],[Baseline Work]]))</f>
        <v/>
      </c>
      <c r="BM184" s="97" t="str">
        <f aca="false">IF(OR(Tasks[[#This Row],[Task Name]]="",Tasks[[#This Row],[Baseline Cost]]=""),"",Tasks[[#This Row],[Cost]]-N(Tasks[[#This Row],[Baseline Cost]]))</f>
        <v/>
      </c>
      <c r="BN184" s="97" t="str">
        <f aca="false">IF(Tasks[[#This Row],[Task Name]]="","",IF(Tasks[[#This Row],[_IsSummary]],SUM(INDEX(Tasks[_LeafBudget],Tasks[[#This Row],[_Row]]+1):INDEX(Tasks[_LeafBudget],Tasks[[#This Row],[_Row]]+Tasks[[#This Row],[_Descendants]])),Tasks[[#This Row],[_LeafBudget]]))</f>
        <v/>
      </c>
      <c r="BO184" s="97" t="str">
        <f aca="false">IF(Tasks[[#This Row],[Task Name]]="","",IF(Tasks[[#This Row],[_IsSummary]],SUM(INDEX(Tasks[_LeafPV],Tasks[[#This Row],[_Row]]+1):INDEX(Tasks[_LeafPV],Tasks[[#This Row],[_Row]]+Tasks[[#This Row],[_Descendants]])),Tasks[[#This Row],[_LeafPV]]))</f>
        <v/>
      </c>
      <c r="BP184" s="97" t="str">
        <f aca="false">IF(Tasks[[#This Row],[Task Name]]="","",IF(Tasks[[#This Row],[_IsSummary]],SUM(INDEX(Tasks[_LeafEV],Tasks[[#This Row],[_Row]]+1):INDEX(Tasks[_LeafEV],Tasks[[#This Row],[_Row]]+Tasks[[#This Row],[_Descendants]])),Tasks[[#This Row],[_LeafEV]]))</f>
        <v/>
      </c>
      <c r="BQ184" s="97" t="str">
        <f aca="false">IF(Tasks[[#This Row],[Task Name]]="","",IF(Tasks[[#This Row],[_IsSummary]],SUM(INDEX(Tasks[_LeafAC],Tasks[[#This Row],[_Row]]+1):INDEX(Tasks[_LeafAC],Tasks[[#This Row],[_Row]]+Tasks[[#This Row],[_Descendants]])),Tasks[[#This Row],[_LeafAC]]))</f>
        <v/>
      </c>
      <c r="BR184" s="41" t="str">
        <f aca="false">IF(Tasks[[#This Row],[Task Name]]="","",MAX(1,N(Tasks[[#This Row],[Level]])))</f>
        <v/>
      </c>
      <c r="BS184" s="41" t="n">
        <f aca="false">ROW()-ROW(Tasks[[#Headers],[ID]])</f>
        <v>179</v>
      </c>
      <c r="BT184" s="41" t="n">
        <f aca="false">IF(OR(Tasks[[#This Row],[Task Name]]="",Tasks[[#This Row],[_Level]]&lt;=1),0,IFERROR(LOOKUP(2,1/(Tasks[[#Headers],[_Level]]:Tasks[[#This Row],[_Level]]=Tasks[[#This Row],[_Level]]-1),ROW(Tasks[[#Headers],[_Level]]:Tasks[[#This Row],[_Level]])),0))</f>
        <v>0</v>
      </c>
      <c r="BU184" s="41" t="n">
        <f aca="false">IFERROR(N(INDEX(Tasks[_Level],Tasks[[#This Row],[_Row]]+1)),0)</f>
        <v>0</v>
      </c>
      <c r="BV184" s="100" t="b">
        <f aca="false">AND(Tasks[[#This Row],[Task Name]]&lt;&gt;"",Tasks[[#This Row],[_NextLevel]]&gt;Tasks[[#This Row],[_Level]])</f>
        <v>0</v>
      </c>
      <c r="BW184" s="41" t="n">
        <f aca="false">IF(Tasks[[#This Row],[_IsSummary]],COUNTIF(Tasks[WBS],Tasks[[#This Row],[WBS]]&amp;".*"),0)</f>
        <v>0</v>
      </c>
      <c r="BX184" s="41" t="n">
        <f aca="false">IF(AND(Tasks[[#This Row],[Task Name]]&lt;&gt;"",NOT(Tasks[[#This Row],[_IsSummary]])),1,0)</f>
        <v>0</v>
      </c>
      <c r="BY184" s="41" t="n">
        <f aca="false">IF(N(Tasks[[#This Row],[Pred1 UID]])=0,0,IFERROR(MATCH(Tasks[[#This Row],[Pred1 UID]],Tasks[UID],0),-1))</f>
        <v>0</v>
      </c>
      <c r="BZ184" s="41" t="n">
        <f aca="false">IF(N(Tasks[[#This Row],[Pred2 UID]])=0,0,IFERROR(MATCH(Tasks[[#This Row],[Pred2 UID]],Tasks[UID],0),-1))</f>
        <v>0</v>
      </c>
      <c r="CA184" s="41" t="n">
        <f aca="false">IF(N(Tasks[[#This Row],[Pred3 UID]])=0,0,IFERROR(MATCH(Tasks[[#This Row],[Pred3 UID]],Tasks[UID],0),-1))</f>
        <v>0</v>
      </c>
      <c r="CB184" s="41" t="n">
        <f aca="false">IF(N(Tasks[[#This Row],[Pred4 UID]])=0,0,IFERROR(MATCH(Tasks[[#This Row],[Pred4 UID]],Tasks[UID],0),-1))</f>
        <v>0</v>
      </c>
      <c r="CC1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4" s="101" t="n">
        <f aca="false">IF(OR(Tasks[[#This Row],[_ConstraintCode]]=2,Tasks[[#This Row],[_ConstraintCode]]=3,Tasks[[#This Row],[_ConstraintCode]]=4,Tasks[[#This Row],[_ConstraintCode]]=6),Tasks[[#This Row],[_ConstraintStart]],0)</f>
        <v>0</v>
      </c>
      <c r="CF184" s="101" t="n">
        <f aca="false">IF(OR(Tasks[[#This Row],[_ConstraintCode]]=2,Tasks[[#This Row],[_ConstraintCode]]=3,Tasks[[#This Row],[_ConstraintCode]]=5,Tasks[[#This Row],[_ConstraintCode]]=7),Tasks[[#This Row],[_ConstraintStart]],2958465)</f>
        <v>2958465</v>
      </c>
      <c r="CG18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4" s="101" t="str">
        <f aca="false">IF(NOT(Tasks[[#This Row],[_IsLeaf]]=1),"",IF(N(Tasks[[#This Row],[Duration]])&lt;=0,Tasks[[#This Row],[_LeafCalcStart]],WORKDAY.INTL(Tasks[[#This Row],[_LeafCalcStart]],Tasks[[#This Row],[Duration]]-1,WorkWeek,Holidays)))</f>
        <v/>
      </c>
      <c r="CI18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4" s="41" t="n">
        <f aca="false">IF(NOT(Tasks[[#This Row],[_IsLeaf]]=1),0,IF(N(Tasks[[#This Row],[Actual Finish]])&gt;0,1,MIN(1,N(Tasks[[#This Row],[% Complete]]))))</f>
        <v>0</v>
      </c>
      <c r="CL184" s="41" t="n">
        <f aca="false">IF(OR(NOT(Tasks[[#This Row],[_IsLeaf]]=1),Tasks[[#This Row],[Resource]]=""),0,N(Tasks[[#This Row],[Duration]])*HoursPerDay*IF(Tasks[[#This Row],[Units]]="",DefaultUnits,Tasks[[#This Row],[Units]]))</f>
        <v>0</v>
      </c>
      <c r="CM184" s="41" t="n">
        <f aca="false">IF(Tasks[[#This Row],[_LeafWork]]=0,0,Tasks[[#This Row],[_LeafWork]]*IFERROR(INDEX(res_Rate,MATCH(Tasks[[#This Row],[Resource]],res_Name,0)),0))</f>
        <v>0</v>
      </c>
      <c r="CN184" s="41" t="n">
        <f aca="false">Tasks[[#This Row],[_LeafWork]]+IF(Tasks[[#This Row],[_IsLeaf]]=1,SUMIFS(asg_Work,asg_TaskUID,Tasks[[#This Row],[UID]],asg_Valid,1),0)</f>
        <v>0</v>
      </c>
      <c r="CO184" s="41" t="n">
        <f aca="false">Tasks[[#This Row],[_LeafCost]]+IF(Tasks[[#This Row],[_IsLeaf]]=1,SUMIFS(asg_Cost,asg_TaskUID,Tasks[[#This Row],[UID]],asg_Valid,1),0)</f>
        <v>0</v>
      </c>
      <c r="CP184" s="41" t="n">
        <f aca="false">IF(Tasks[[#This Row],[_LeafTotalCost]]=0,Tasks[[#This Row],[_LeafAC]],Tasks[[#This Row],[_LeafAC]]*Tasks[[#This Row],[_LeafCost]]/Tasks[[#This Row],[_LeafTotalCost]])</f>
        <v>0</v>
      </c>
      <c r="CQ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4" s="41" t="n">
        <f aca="false">IF(NOT(Tasks[[#This Row],[_IsLeaf]]=1),0,MAX(_xlfn.MAXIFS(Tasks[_Row],Tasks[Pred1 UID],Tasks[[#This Row],[UID]]),_xlfn.MAXIFS(Tasks[_Row],Tasks[Pred2 UID],Tasks[[#This Row],[UID]]),_xlfn.MAXIFS(Tasks[_Row],Tasks[Pred3 UID],Tasks[[#This Row],[UID]]),_xlfn.MAXIFS(Tasks[_Row],Tasks[Pred4 UID],Tasks[[#This Row],[UID]])))</f>
        <v>0</v>
      </c>
      <c r="CZ1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4" s="101" t="str">
        <f aca="false">IF(NOT(Tasks[[#This Row],[_IsLeaf]]=1),"",IF(N(Tasks[[#This Row],[Duration]])&lt;=0,Tasks[[#This Row],[_LeafLateFinish]],WORKDAY.INTL(Tasks[[#This Row],[_LeafLateFinish]],-(Tasks[[#This Row],[Duration]]-1),WorkWeek,Holidays)))</f>
        <v/>
      </c>
      <c r="DC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4" s="100" t="b">
        <f aca="false">AND(Tasks[[#This Row],[_IsLeaf]]=1,Tasks[[#This Row],[_LeafProgress]]&lt;1,N(Tasks[[#This Row],[_LeafTotalSlack]])&lt;=CriticalSlackDays)</f>
        <v>0</v>
      </c>
      <c r="DE184" s="41" t="n">
        <f aca="false">IF(AND(Tasks[[#This Row],[_IsLeaf]]=1,Tasks[[#This Row],[_ConstraintCode]]=1,Tasks[[#This Row],[Mode]]&lt;&gt;"Manual",N(Tasks[[#This Row],[Actual Start]])=0),MAX(0,N(Tasks[[#This Row],[Free Slack]])),0)</f>
        <v>0</v>
      </c>
      <c r="DF184" s="101" t="str">
        <f aca="false">IF(NOT(Tasks[[#This Row],[_IsLeaf]]=1),"",IF(Tasks[[#This Row],[_AlapShift]]=0,Tasks[[#This Row],[_LeafCalcStart]],WORKDAY.INTL(Tasks[[#This Row],[_LeafCalcStart]],Tasks[[#This Row],[_AlapShift]],WorkWeek,Holidays)))</f>
        <v/>
      </c>
      <c r="DG184" s="101" t="str">
        <f aca="false">IF(NOT(Tasks[[#This Row],[_IsLeaf]]=1),"",IF(Tasks[[#This Row],[_AlapShift]]=0,Tasks[[#This Row],[_LeafCalcFinish]],WORKDAY.INTL(Tasks[[#This Row],[_LeafCalcFinish]],Tasks[[#This Row],[_AlapShift]],WorkWeek,Holidays)))</f>
        <v/>
      </c>
      <c r="DH184" s="101" t="str">
        <f aca="false">IF(NOT(Tasks[[#This Row],[_IsLeaf]]=1),"",IF(Tasks[[#This Row],[_AlapShift]]=0,Tasks[[#This Row],[_LeafFcstStart]],WORKDAY.INTL(Tasks[[#This Row],[_LeafFcstStart]],Tasks[[#This Row],[_AlapShift]],WorkWeek,Holidays)))</f>
        <v/>
      </c>
      <c r="DI184" s="101" t="str">
        <f aca="false">IF(NOT(Tasks[[#This Row],[_IsLeaf]]=1),"",IF(Tasks[[#This Row],[_AlapShift]]=0,Tasks[[#This Row],[_LeafFcstFinish]],WORKDAY.INTL(Tasks[[#This Row],[_LeafFcstFinish]],Tasks[[#This Row],[_AlapShift]],WorkWeek,Holidays)))</f>
        <v/>
      </c>
      <c r="DJ184" s="101" t="str">
        <f aca="false">IF(Tasks[[#This Row],[Task Name]]="","",IF(Tasks[[#This Row],[_IsSummary]],MIN(INDEX(Tasks[_ShownCalcStart],Tasks[[#This Row],[_Row]]+1):INDEX(Tasks[_ShownCalcStart],Tasks[[#This Row],[_Row]]+Tasks[[#This Row],[_Descendants]])),Tasks[[#This Row],[_ShownCalcStart]]))</f>
        <v/>
      </c>
      <c r="DK184" s="101" t="str">
        <f aca="false">IF(Tasks[[#This Row],[Task Name]]="","",IF(Tasks[[#This Row],[_IsSummary]],MAX(INDEX(Tasks[_ShownCalcFinish],Tasks[[#This Row],[_Row]]+1):INDEX(Tasks[_ShownCalcFinish],Tasks[[#This Row],[_Row]]+Tasks[[#This Row],[_Descendants]])),Tasks[[#This Row],[_ShownCalcFinish]]))</f>
        <v/>
      </c>
      <c r="D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4" s="41" t="n">
        <f aca="false">IF(AND(Tasks[[#This Row],[_IsLeaf]]=1,Tasks[[#This Row],[_LeafTotalWork]]&gt;0),NETWORKDAYS.INTL(ProjectStart,Tasks[[#This Row],[_ShownFcstStart]],WorkWeek,Holidays),0)</f>
        <v>0</v>
      </c>
      <c r="DY184" s="41" t="n">
        <f aca="false">IF(AND(Tasks[[#This Row],[_IsLeaf]]=1,Tasks[[#This Row],[_LeafTotalWork]]&gt;0),MAX(Tasks[[#This Row],[_StartWorkday]],NETWORKDAYS.INTL(ProjectStart,Tasks[[#This Row],[_ShownFcstFinish]],WorkWeek,Holidays)),0)</f>
        <v>0</v>
      </c>
      <c r="DZ184" s="41" t="n">
        <f aca="false">IF(AND(Tasks[[#This Row],[_IsLeaf]]=1,Tasks[[#This Row],[_LeafTotalWork]]&gt;0),Tasks[[#This Row],[_LeafWork]]/(Tasks[[#This Row],[_FinishWorkday]]-Tasks[[#This Row],[_StartWorkday]]+1),0)</f>
        <v>0</v>
      </c>
      <c r="EA184" s="41" t="n">
        <f aca="false">Tasks[[#This Row],[_WorkPerWorkday]]*(Tasks[[#This Row],[_StartWorkday]]-1)</f>
        <v>-0</v>
      </c>
      <c r="EB184" s="41" t="n">
        <f aca="false">IF(Tasks[[#This Row],[_IsLeaf]]=1,MAX(N(Tasks[[#This Row],[Duration]]),0.1),0)</f>
        <v>0</v>
      </c>
      <c r="EC184" s="41" t="n">
        <f aca="false">Tasks[[#This Row],[_WeightDur]]*Tasks[[#This Row],[_LeafProgress]]</f>
        <v>0</v>
      </c>
      <c r="ED1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4" s="41" t="str">
        <f aca="false">IF(AND(Tasks[[#This Row],[_IsLeaf]]=1,N(Tasks[[#This Row],[Duration]])=0,Tasks[[#This Row],[_LeafProgress]]&lt;1),Tasks[[#This Row],[_ShownFcstFinish]]+Tasks[[#This Row],[_Row]]/100000,"")</f>
        <v/>
      </c>
      <c r="EF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4" s="41" t="n">
        <f aca="false">IF(NOT(Tasks[[#This Row],[_IsLeaf]]=1),0,IF(Tasks[[#This Row],[Baseline Cost]]="",Tasks[[#This Row],[_LeafTotalCost]],N(Tasks[[#This Row],[Baseline Cost]])))</f>
        <v>0</v>
      </c>
      <c r="EH184" s="41" t="n">
        <f aca="false">Tasks[[#This Row],[_LeafBudget]]*Tasks[[#This Row],[_PlannedPct]]</f>
        <v>0</v>
      </c>
      <c r="EI184" s="41" t="n">
        <f aca="false">Tasks[[#This Row],[_LeafBudget]]*Tasks[[#This Row],[_LeafProgress]]</f>
        <v>0</v>
      </c>
      <c r="EJ184" s="41" t="n">
        <f aca="false">IF(NOT(Tasks[[#This Row],[_IsLeaf]]=1),0,IF(Tasks[[#This Row],[Actual Cost]]="",Tasks[[#This Row],[_LeafTotalCost]]*Tasks[[#This Row],[_LeafProgress]],N(Tasks[[#This Row],[Actual Cost]])))</f>
        <v>0</v>
      </c>
      <c r="EK184" s="41" t="str">
        <f aca="false">IF(Tasks[[#This Row],[Task Name]]="","",LEFT(Tasks[[#This Row],[WBS]],FIND(".",Tasks[[#This Row],[WBS]]&amp;".")-1))</f>
        <v/>
      </c>
      <c r="EL184" s="41" t="str">
        <f aca="false">IF(AND(Tasks[[#This Row],[Task Name]]&lt;&gt;"",Tasks[[#This Row],[_Level]]=1),Tasks[[#This Row],[_Row]],"")</f>
        <v/>
      </c>
      <c r="EM184" s="41" t="str">
        <f aca="false">IF(AND(Tasks[[#This Row],[_IsLeaf]]=1,N(Tasks[[#This Row],[Duration]])=0),Tasks[[#This Row],[Planned Finish]]+Tasks[[#This Row],[_Row]]/100000,"")</f>
        <v/>
      </c>
      <c r="EN184" s="41" t="str">
        <f aca="false">IF(AND(Tasks[[#This Row],[_IsLeaf]]=1,Tasks[[#This Row],[_LeafProgress]]&lt;1,OR(N(Tasks[[#This Row],[Finish Var]])&gt;0,Tasks[[#This Row],[Status]]="Late Start")),MAX(0,Tasks[[#This Row],[Finish Var]])+1-Tasks[[#This Row],[_Row]]/1000000,"")</f>
        <v/>
      </c>
      <c r="EO184" s="41" t="str">
        <f aca="false">IF(AND(Tasks[[#This Row],[_IsLeaf]]=1,N(Tasks[[#This Row],[Actual Start]])=0,Tasks[[#This Row],[_ShownFcstStart]]&gt;=StatusDate,Tasks[[#This Row],[_ShownFcstStart]]&lt;=LookaheadEnd),Tasks[[#This Row],[_ShownFcstStart]]+Tasks[[#This Row],[_Row]]/100000,"")</f>
        <v/>
      </c>
      <c r="EP184" s="41" t="str">
        <f aca="false">IF(AND(Tasks[[#This Row],[_IsLeaf]]=1,Tasks[[#This Row],[_LeafProgress]]&lt;1,Tasks[[#This Row],[_ShownFcstFinish]]&gt;=StatusDate,Tasks[[#This Row],[_ShownFcstFinish]]&lt;=LookaheadEnd),Tasks[[#This Row],[_ShownFcstFinish]]+Tasks[[#This Row],[_Row]]/100000,"")</f>
        <v/>
      </c>
      <c r="EQ184" s="41" t="str">
        <f aca="false">IF(Tasks[[#This Row],[_LeafCritical]],Tasks[[#This Row],[_ShownFcstStart]]+Tasks[[#This Row],[_Row]]/100000,"")</f>
        <v/>
      </c>
      <c r="ER184" s="41" t="n">
        <f aca="false">Tasks[[#This Row],[_LeafWork]]*Tasks[[#This Row],[_LeafProgress]]</f>
        <v>0</v>
      </c>
      <c r="ES184" s="101" t="str">
        <f aca="false">IF(AND(Tasks[[#This Row],[_IsLeaf]]=1,Tasks[[#This Row],[_LeafProgress]]&gt;=1),IF(N(Tasks[[#This Row],[Actual Finish]])&gt;0,Tasks[[#This Row],[Actual Finish]],Tasks[[#This Row],[_ShownFcstFinish]]),"")</f>
        <v/>
      </c>
      <c r="ET184" s="41" t="n">
        <f aca="false">IF(Tasks[[#This Row],[_IsLeaf]]=1,N(Tasks[[#This Row],[Story Points]]),0)</f>
        <v>0</v>
      </c>
      <c r="EU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29"/>
      <c r="O185" s="29"/>
      <c r="P185" s="29"/>
      <c r="Q185" s="29"/>
      <c r="R185" s="29"/>
      <c r="S185" s="29"/>
      <c r="T185" s="30"/>
      <c r="U185" s="75"/>
      <c r="V185" s="75"/>
      <c r="W185" s="25" t="str">
        <f aca="false">IF(Tasks[[#This Row],[Task Name]]="","",IF(N(Tasks[[#This Row],[Baseline Start]])&gt;0,Tasks[[#This Row],[Baseline Start]],Tasks[[#This Row],[_CalcStart]]))</f>
        <v/>
      </c>
      <c r="X185" s="25" t="str">
        <f aca="false">IF(Tasks[[#This Row],[Task Name]]="","",IF(N(Tasks[[#This Row],[Baseline Finish]])&gt;0,Tasks[[#This Row],[Baseline Finish]],Tasks[[#This Row],[_CalcFinish]]))</f>
        <v/>
      </c>
      <c r="Y185" s="75"/>
      <c r="Z185" s="75"/>
      <c r="AA185" s="25" t="str">
        <f aca="false">IF(Tasks[[#This Row],[Task Name]]="","",IF(Tasks[[#This Row],[_IsSummary]],MIN(INDEX(Tasks[_ShownFcstStart],Tasks[[#This Row],[_Row]]+1):INDEX(Tasks[_ShownFcstStart],Tasks[[#This Row],[_Row]]+Tasks[[#This Row],[_Descendants]])),Tasks[[#This Row],[_ShownFcstStart]]))</f>
        <v/>
      </c>
      <c r="AB185" s="25" t="str">
        <f aca="false">IF(Tasks[[#This Row],[Task Name]]="","",IF(Tasks[[#This Row],[_IsSummary]],MAX(INDEX(Tasks[_ShownFcstFinish],Tasks[[#This Row],[_Row]]+1):INDEX(Tasks[_ShownFcstFinish],Tasks[[#This Row],[_Row]]+Tasks[[#This Row],[_Descendants]])),Tasks[[#This Row],[_ShownFcstFinish]]))</f>
        <v/>
      </c>
      <c r="AC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5" s="25" t="str">
        <f aca="false">IF(Tasks[[#This Row],[Task Name]]="","",IF(Tasks[[#This Row],[_IsSummary]],MIN(INDEX(Tasks[_LeafLateStart],Tasks[[#This Row],[_Row]]+1):INDEX(Tasks[_LeafLateStart],Tasks[[#This Row],[_Row]]+Tasks[[#This Row],[_Descendants]])),Tasks[[#This Row],[_LeafLateStart]]))</f>
        <v/>
      </c>
      <c r="AF185" s="25" t="str">
        <f aca="false">IF(Tasks[[#This Row],[Task Name]]="","",IF(Tasks[[#This Row],[_IsSummary]],MAX(INDEX(Tasks[_LeafLateFinish],Tasks[[#This Row],[_Row]]+1):INDEX(Tasks[_LeafLateFinish],Tasks[[#This Row],[_Row]]+Tasks[[#This Row],[_Descendants]])),Tasks[[#This Row],[_LeafLateFinish]]))</f>
        <v/>
      </c>
      <c r="AG185" s="28" t="str">
        <f aca="false">IF(Tasks[[#This Row],[Task Name]]="","",IF(Tasks[[#This Row],[_IsSummary]],MIN(INDEX(Tasks[_LeafTotalSlack],Tasks[[#This Row],[_Row]]+1):INDEX(Tasks[_LeafTotalSlack],Tasks[[#This Row],[_Row]]+Tasks[[#This Row],[_Descendants]])),Tasks[[#This Row],[_LeafTotalSlack]]))</f>
        <v/>
      </c>
      <c r="AH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5" s="28" t="str">
        <f aca="false">IF(Tasks[[#This Row],[Task Name]]="","",IF(IF(Tasks[[#This Row],[_IsSummary]],COUNTIF(INDEX(Tasks[_LeafCritical],Tasks[[#This Row],[_Row]]+1):INDEX(Tasks[_LeafCritical],Tasks[[#This Row],[_Row]]+Tasks[[#This Row],[_Descendants]]),TRUE())&gt;0,Tasks[[#This Row],[_LeafCritical]]),"Yes",""))</f>
        <v/>
      </c>
      <c r="AJ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5" s="89"/>
      <c r="AM1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5" s="28" t="str">
        <f aca="false">IF(Tasks[[#This Row],[Task Name]]="","",IF(Tasks[[#This Row],[Progress]]&gt;=1,"Complete",IF(OR(N(Tasks[[#This Row],[Actual Start]])&gt;0,Tasks[[#This Row],[Progress]]&gt;0),IF(Tasks[[#This Row],[Finish Var]]&gt;0,"Behind","In Progress"),IF(Tasks[[#This Row],[Planned Start]]&lt;StatusDate,"Late Start","Not Started"))))</f>
        <v/>
      </c>
      <c r="AO185" s="30"/>
      <c r="AP185" s="89"/>
      <c r="AQ1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5" s="96" t="str">
        <f aca="false">IF(Tasks[[#This Row],[Task Name]]="","",IF(Tasks[[#This Row],[_IsSummary]],SUM(INDEX(Tasks[_LeafTotalWork],Tasks[[#This Row],[_Row]]+1):INDEX(Tasks[_LeafTotalWork],Tasks[[#This Row],[_Row]]+Tasks[[#This Row],[_Descendants]])),Tasks[[#This Row],[_LeafTotalWork]]))</f>
        <v/>
      </c>
      <c r="AT185" s="97" t="str">
        <f aca="false">IF(Tasks[[#This Row],[Task Name]]="","",IF(Tasks[[#This Row],[_IsSummary]],SUM(INDEX(Tasks[_LeafTotalCost],Tasks[[#This Row],[_Row]]+1):INDEX(Tasks[_LeafTotalCost],Tasks[[#This Row],[_Row]]+Tasks[[#This Row],[_Descendants]])),Tasks[[#This Row],[_LeafTotalCost]]))</f>
        <v/>
      </c>
      <c r="AU185" s="98"/>
      <c r="AV185" s="29"/>
      <c r="AW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5" s="83"/>
      <c r="AY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5" s="30"/>
      <c r="BA185" s="25" t="str">
        <f aca="false">IF(Tasks[[#This Row],[Task Name]]="","",Tasks[[#This Row],[Forecast Start]])</f>
        <v/>
      </c>
      <c r="BB185" s="25" t="str">
        <f aca="false">IF(Tasks[[#This Row],[Task Name]]="","",Tasks[[#This Row],[Forecast Finish]])</f>
        <v/>
      </c>
      <c r="BC185" s="28" t="str">
        <f aca="false">IF(Tasks[[#This Row],[Task Name]]="","",IF(Tasks[[#This Row],[_IsSummary]],NETWORKDAYS.INTL(Tasks[[#This Row],[Forecast Start]],Tasks[[#This Row],[Forecast Finish]],WorkWeek,Holidays),N(Tasks[[#This Row],[Duration]])))</f>
        <v/>
      </c>
      <c r="BD185" s="96" t="str">
        <f aca="false">IF(Tasks[[#This Row],[Task Name]]="","",Tasks[[#This Row],[Work]])</f>
        <v/>
      </c>
      <c r="BE185" s="97" t="str">
        <f aca="false">IF(Tasks[[#This Row],[Task Name]]="","",Tasks[[#This Row],[Cost]])</f>
        <v/>
      </c>
      <c r="BF185" s="75"/>
      <c r="BG185" s="75"/>
      <c r="BH185" s="29"/>
      <c r="BI185" s="99"/>
      <c r="BJ185" s="98"/>
      <c r="BK185" s="28" t="str">
        <f aca="false">IF(OR(Tasks[[#This Row],[Task Name]]="",Tasks[[#This Row],[Baseline Duration]]=""),"",Tasks[[#This Row],[BL Source Duration]]-N(Tasks[[#This Row],[Baseline Duration]]))</f>
        <v/>
      </c>
      <c r="BL185" s="96" t="str">
        <f aca="false">IF(OR(Tasks[[#This Row],[Task Name]]="",Tasks[[#This Row],[Baseline Work]]=""),"",Tasks[[#This Row],[Work]]-N(Tasks[[#This Row],[Baseline Work]]))</f>
        <v/>
      </c>
      <c r="BM185" s="97" t="str">
        <f aca="false">IF(OR(Tasks[[#This Row],[Task Name]]="",Tasks[[#This Row],[Baseline Cost]]=""),"",Tasks[[#This Row],[Cost]]-N(Tasks[[#This Row],[Baseline Cost]]))</f>
        <v/>
      </c>
      <c r="BN185" s="97" t="str">
        <f aca="false">IF(Tasks[[#This Row],[Task Name]]="","",IF(Tasks[[#This Row],[_IsSummary]],SUM(INDEX(Tasks[_LeafBudget],Tasks[[#This Row],[_Row]]+1):INDEX(Tasks[_LeafBudget],Tasks[[#This Row],[_Row]]+Tasks[[#This Row],[_Descendants]])),Tasks[[#This Row],[_LeafBudget]]))</f>
        <v/>
      </c>
      <c r="BO185" s="97" t="str">
        <f aca="false">IF(Tasks[[#This Row],[Task Name]]="","",IF(Tasks[[#This Row],[_IsSummary]],SUM(INDEX(Tasks[_LeafPV],Tasks[[#This Row],[_Row]]+1):INDEX(Tasks[_LeafPV],Tasks[[#This Row],[_Row]]+Tasks[[#This Row],[_Descendants]])),Tasks[[#This Row],[_LeafPV]]))</f>
        <v/>
      </c>
      <c r="BP185" s="97" t="str">
        <f aca="false">IF(Tasks[[#This Row],[Task Name]]="","",IF(Tasks[[#This Row],[_IsSummary]],SUM(INDEX(Tasks[_LeafEV],Tasks[[#This Row],[_Row]]+1):INDEX(Tasks[_LeafEV],Tasks[[#This Row],[_Row]]+Tasks[[#This Row],[_Descendants]])),Tasks[[#This Row],[_LeafEV]]))</f>
        <v/>
      </c>
      <c r="BQ185" s="97" t="str">
        <f aca="false">IF(Tasks[[#This Row],[Task Name]]="","",IF(Tasks[[#This Row],[_IsSummary]],SUM(INDEX(Tasks[_LeafAC],Tasks[[#This Row],[_Row]]+1):INDEX(Tasks[_LeafAC],Tasks[[#This Row],[_Row]]+Tasks[[#This Row],[_Descendants]])),Tasks[[#This Row],[_LeafAC]]))</f>
        <v/>
      </c>
      <c r="BR185" s="41" t="str">
        <f aca="false">IF(Tasks[[#This Row],[Task Name]]="","",MAX(1,N(Tasks[[#This Row],[Level]])))</f>
        <v/>
      </c>
      <c r="BS185" s="41" t="n">
        <f aca="false">ROW()-ROW(Tasks[[#Headers],[ID]])</f>
        <v>180</v>
      </c>
      <c r="BT185" s="41" t="n">
        <f aca="false">IF(OR(Tasks[[#This Row],[Task Name]]="",Tasks[[#This Row],[_Level]]&lt;=1),0,IFERROR(LOOKUP(2,1/(Tasks[[#Headers],[_Level]]:Tasks[[#This Row],[_Level]]=Tasks[[#This Row],[_Level]]-1),ROW(Tasks[[#Headers],[_Level]]:Tasks[[#This Row],[_Level]])),0))</f>
        <v>0</v>
      </c>
      <c r="BU185" s="41" t="n">
        <f aca="false">IFERROR(N(INDEX(Tasks[_Level],Tasks[[#This Row],[_Row]]+1)),0)</f>
        <v>0</v>
      </c>
      <c r="BV185" s="100" t="b">
        <f aca="false">AND(Tasks[[#This Row],[Task Name]]&lt;&gt;"",Tasks[[#This Row],[_NextLevel]]&gt;Tasks[[#This Row],[_Level]])</f>
        <v>0</v>
      </c>
      <c r="BW185" s="41" t="n">
        <f aca="false">IF(Tasks[[#This Row],[_IsSummary]],COUNTIF(Tasks[WBS],Tasks[[#This Row],[WBS]]&amp;".*"),0)</f>
        <v>0</v>
      </c>
      <c r="BX185" s="41" t="n">
        <f aca="false">IF(AND(Tasks[[#This Row],[Task Name]]&lt;&gt;"",NOT(Tasks[[#This Row],[_IsSummary]])),1,0)</f>
        <v>0</v>
      </c>
      <c r="BY185" s="41" t="n">
        <f aca="false">IF(N(Tasks[[#This Row],[Pred1 UID]])=0,0,IFERROR(MATCH(Tasks[[#This Row],[Pred1 UID]],Tasks[UID],0),-1))</f>
        <v>0</v>
      </c>
      <c r="BZ185" s="41" t="n">
        <f aca="false">IF(N(Tasks[[#This Row],[Pred2 UID]])=0,0,IFERROR(MATCH(Tasks[[#This Row],[Pred2 UID]],Tasks[UID],0),-1))</f>
        <v>0</v>
      </c>
      <c r="CA185" s="41" t="n">
        <f aca="false">IF(N(Tasks[[#This Row],[Pred3 UID]])=0,0,IFERROR(MATCH(Tasks[[#This Row],[Pred3 UID]],Tasks[UID],0),-1))</f>
        <v>0</v>
      </c>
      <c r="CB185" s="41" t="n">
        <f aca="false">IF(N(Tasks[[#This Row],[Pred4 UID]])=0,0,IFERROR(MATCH(Tasks[[#This Row],[Pred4 UID]],Tasks[UID],0),-1))</f>
        <v>0</v>
      </c>
      <c r="CC1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5" s="101" t="n">
        <f aca="false">IF(OR(Tasks[[#This Row],[_ConstraintCode]]=2,Tasks[[#This Row],[_ConstraintCode]]=3,Tasks[[#This Row],[_ConstraintCode]]=4,Tasks[[#This Row],[_ConstraintCode]]=6),Tasks[[#This Row],[_ConstraintStart]],0)</f>
        <v>0</v>
      </c>
      <c r="CF185" s="101" t="n">
        <f aca="false">IF(OR(Tasks[[#This Row],[_ConstraintCode]]=2,Tasks[[#This Row],[_ConstraintCode]]=3,Tasks[[#This Row],[_ConstraintCode]]=5,Tasks[[#This Row],[_ConstraintCode]]=7),Tasks[[#This Row],[_ConstraintStart]],2958465)</f>
        <v>2958465</v>
      </c>
      <c r="CG18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5" s="101" t="str">
        <f aca="false">IF(NOT(Tasks[[#This Row],[_IsLeaf]]=1),"",IF(N(Tasks[[#This Row],[Duration]])&lt;=0,Tasks[[#This Row],[_LeafCalcStart]],WORKDAY.INTL(Tasks[[#This Row],[_LeafCalcStart]],Tasks[[#This Row],[Duration]]-1,WorkWeek,Holidays)))</f>
        <v/>
      </c>
      <c r="CI18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5" s="41" t="n">
        <f aca="false">IF(NOT(Tasks[[#This Row],[_IsLeaf]]=1),0,IF(N(Tasks[[#This Row],[Actual Finish]])&gt;0,1,MIN(1,N(Tasks[[#This Row],[% Complete]]))))</f>
        <v>0</v>
      </c>
      <c r="CL185" s="41" t="n">
        <f aca="false">IF(OR(NOT(Tasks[[#This Row],[_IsLeaf]]=1),Tasks[[#This Row],[Resource]]=""),0,N(Tasks[[#This Row],[Duration]])*HoursPerDay*IF(Tasks[[#This Row],[Units]]="",DefaultUnits,Tasks[[#This Row],[Units]]))</f>
        <v>0</v>
      </c>
      <c r="CM185" s="41" t="n">
        <f aca="false">IF(Tasks[[#This Row],[_LeafWork]]=0,0,Tasks[[#This Row],[_LeafWork]]*IFERROR(INDEX(res_Rate,MATCH(Tasks[[#This Row],[Resource]],res_Name,0)),0))</f>
        <v>0</v>
      </c>
      <c r="CN185" s="41" t="n">
        <f aca="false">Tasks[[#This Row],[_LeafWork]]+IF(Tasks[[#This Row],[_IsLeaf]]=1,SUMIFS(asg_Work,asg_TaskUID,Tasks[[#This Row],[UID]],asg_Valid,1),0)</f>
        <v>0</v>
      </c>
      <c r="CO185" s="41" t="n">
        <f aca="false">Tasks[[#This Row],[_LeafCost]]+IF(Tasks[[#This Row],[_IsLeaf]]=1,SUMIFS(asg_Cost,asg_TaskUID,Tasks[[#This Row],[UID]],asg_Valid,1),0)</f>
        <v>0</v>
      </c>
      <c r="CP185" s="41" t="n">
        <f aca="false">IF(Tasks[[#This Row],[_LeafTotalCost]]=0,Tasks[[#This Row],[_LeafAC]],Tasks[[#This Row],[_LeafAC]]*Tasks[[#This Row],[_LeafCost]]/Tasks[[#This Row],[_LeafTotalCost]])</f>
        <v>0</v>
      </c>
      <c r="CQ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5" s="41" t="n">
        <f aca="false">IF(NOT(Tasks[[#This Row],[_IsLeaf]]=1),0,MAX(_xlfn.MAXIFS(Tasks[_Row],Tasks[Pred1 UID],Tasks[[#This Row],[UID]]),_xlfn.MAXIFS(Tasks[_Row],Tasks[Pred2 UID],Tasks[[#This Row],[UID]]),_xlfn.MAXIFS(Tasks[_Row],Tasks[Pred3 UID],Tasks[[#This Row],[UID]]),_xlfn.MAXIFS(Tasks[_Row],Tasks[Pred4 UID],Tasks[[#This Row],[UID]])))</f>
        <v>0</v>
      </c>
      <c r="CZ1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5" s="101" t="str">
        <f aca="false">IF(NOT(Tasks[[#This Row],[_IsLeaf]]=1),"",IF(N(Tasks[[#This Row],[Duration]])&lt;=0,Tasks[[#This Row],[_LeafLateFinish]],WORKDAY.INTL(Tasks[[#This Row],[_LeafLateFinish]],-(Tasks[[#This Row],[Duration]]-1),WorkWeek,Holidays)))</f>
        <v/>
      </c>
      <c r="DC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5" s="100" t="b">
        <f aca="false">AND(Tasks[[#This Row],[_IsLeaf]]=1,Tasks[[#This Row],[_LeafProgress]]&lt;1,N(Tasks[[#This Row],[_LeafTotalSlack]])&lt;=CriticalSlackDays)</f>
        <v>0</v>
      </c>
      <c r="DE185" s="41" t="n">
        <f aca="false">IF(AND(Tasks[[#This Row],[_IsLeaf]]=1,Tasks[[#This Row],[_ConstraintCode]]=1,Tasks[[#This Row],[Mode]]&lt;&gt;"Manual",N(Tasks[[#This Row],[Actual Start]])=0),MAX(0,N(Tasks[[#This Row],[Free Slack]])),0)</f>
        <v>0</v>
      </c>
      <c r="DF185" s="101" t="str">
        <f aca="false">IF(NOT(Tasks[[#This Row],[_IsLeaf]]=1),"",IF(Tasks[[#This Row],[_AlapShift]]=0,Tasks[[#This Row],[_LeafCalcStart]],WORKDAY.INTL(Tasks[[#This Row],[_LeafCalcStart]],Tasks[[#This Row],[_AlapShift]],WorkWeek,Holidays)))</f>
        <v/>
      </c>
      <c r="DG185" s="101" t="str">
        <f aca="false">IF(NOT(Tasks[[#This Row],[_IsLeaf]]=1),"",IF(Tasks[[#This Row],[_AlapShift]]=0,Tasks[[#This Row],[_LeafCalcFinish]],WORKDAY.INTL(Tasks[[#This Row],[_LeafCalcFinish]],Tasks[[#This Row],[_AlapShift]],WorkWeek,Holidays)))</f>
        <v/>
      </c>
      <c r="DH185" s="101" t="str">
        <f aca="false">IF(NOT(Tasks[[#This Row],[_IsLeaf]]=1),"",IF(Tasks[[#This Row],[_AlapShift]]=0,Tasks[[#This Row],[_LeafFcstStart]],WORKDAY.INTL(Tasks[[#This Row],[_LeafFcstStart]],Tasks[[#This Row],[_AlapShift]],WorkWeek,Holidays)))</f>
        <v/>
      </c>
      <c r="DI185" s="101" t="str">
        <f aca="false">IF(NOT(Tasks[[#This Row],[_IsLeaf]]=1),"",IF(Tasks[[#This Row],[_AlapShift]]=0,Tasks[[#This Row],[_LeafFcstFinish]],WORKDAY.INTL(Tasks[[#This Row],[_LeafFcstFinish]],Tasks[[#This Row],[_AlapShift]],WorkWeek,Holidays)))</f>
        <v/>
      </c>
      <c r="DJ185" s="101" t="str">
        <f aca="false">IF(Tasks[[#This Row],[Task Name]]="","",IF(Tasks[[#This Row],[_IsSummary]],MIN(INDEX(Tasks[_ShownCalcStart],Tasks[[#This Row],[_Row]]+1):INDEX(Tasks[_ShownCalcStart],Tasks[[#This Row],[_Row]]+Tasks[[#This Row],[_Descendants]])),Tasks[[#This Row],[_ShownCalcStart]]))</f>
        <v/>
      </c>
      <c r="DK185" s="101" t="str">
        <f aca="false">IF(Tasks[[#This Row],[Task Name]]="","",IF(Tasks[[#This Row],[_IsSummary]],MAX(INDEX(Tasks[_ShownCalcFinish],Tasks[[#This Row],[_Row]]+1):INDEX(Tasks[_ShownCalcFinish],Tasks[[#This Row],[_Row]]+Tasks[[#This Row],[_Descendants]])),Tasks[[#This Row],[_ShownCalcFinish]]))</f>
        <v/>
      </c>
      <c r="D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5" s="41" t="n">
        <f aca="false">IF(AND(Tasks[[#This Row],[_IsLeaf]]=1,Tasks[[#This Row],[_LeafTotalWork]]&gt;0),NETWORKDAYS.INTL(ProjectStart,Tasks[[#This Row],[_ShownFcstStart]],WorkWeek,Holidays),0)</f>
        <v>0</v>
      </c>
      <c r="DY185" s="41" t="n">
        <f aca="false">IF(AND(Tasks[[#This Row],[_IsLeaf]]=1,Tasks[[#This Row],[_LeafTotalWork]]&gt;0),MAX(Tasks[[#This Row],[_StartWorkday]],NETWORKDAYS.INTL(ProjectStart,Tasks[[#This Row],[_ShownFcstFinish]],WorkWeek,Holidays)),0)</f>
        <v>0</v>
      </c>
      <c r="DZ185" s="41" t="n">
        <f aca="false">IF(AND(Tasks[[#This Row],[_IsLeaf]]=1,Tasks[[#This Row],[_LeafTotalWork]]&gt;0),Tasks[[#This Row],[_LeafWork]]/(Tasks[[#This Row],[_FinishWorkday]]-Tasks[[#This Row],[_StartWorkday]]+1),0)</f>
        <v>0</v>
      </c>
      <c r="EA185" s="41" t="n">
        <f aca="false">Tasks[[#This Row],[_WorkPerWorkday]]*(Tasks[[#This Row],[_StartWorkday]]-1)</f>
        <v>-0</v>
      </c>
      <c r="EB185" s="41" t="n">
        <f aca="false">IF(Tasks[[#This Row],[_IsLeaf]]=1,MAX(N(Tasks[[#This Row],[Duration]]),0.1),0)</f>
        <v>0</v>
      </c>
      <c r="EC185" s="41" t="n">
        <f aca="false">Tasks[[#This Row],[_WeightDur]]*Tasks[[#This Row],[_LeafProgress]]</f>
        <v>0</v>
      </c>
      <c r="ED1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5" s="41" t="str">
        <f aca="false">IF(AND(Tasks[[#This Row],[_IsLeaf]]=1,N(Tasks[[#This Row],[Duration]])=0,Tasks[[#This Row],[_LeafProgress]]&lt;1),Tasks[[#This Row],[_ShownFcstFinish]]+Tasks[[#This Row],[_Row]]/100000,"")</f>
        <v/>
      </c>
      <c r="EF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5" s="41" t="n">
        <f aca="false">IF(NOT(Tasks[[#This Row],[_IsLeaf]]=1),0,IF(Tasks[[#This Row],[Baseline Cost]]="",Tasks[[#This Row],[_LeafTotalCost]],N(Tasks[[#This Row],[Baseline Cost]])))</f>
        <v>0</v>
      </c>
      <c r="EH185" s="41" t="n">
        <f aca="false">Tasks[[#This Row],[_LeafBudget]]*Tasks[[#This Row],[_PlannedPct]]</f>
        <v>0</v>
      </c>
      <c r="EI185" s="41" t="n">
        <f aca="false">Tasks[[#This Row],[_LeafBudget]]*Tasks[[#This Row],[_LeafProgress]]</f>
        <v>0</v>
      </c>
      <c r="EJ185" s="41" t="n">
        <f aca="false">IF(NOT(Tasks[[#This Row],[_IsLeaf]]=1),0,IF(Tasks[[#This Row],[Actual Cost]]="",Tasks[[#This Row],[_LeafTotalCost]]*Tasks[[#This Row],[_LeafProgress]],N(Tasks[[#This Row],[Actual Cost]])))</f>
        <v>0</v>
      </c>
      <c r="EK185" s="41" t="str">
        <f aca="false">IF(Tasks[[#This Row],[Task Name]]="","",LEFT(Tasks[[#This Row],[WBS]],FIND(".",Tasks[[#This Row],[WBS]]&amp;".")-1))</f>
        <v/>
      </c>
      <c r="EL185" s="41" t="str">
        <f aca="false">IF(AND(Tasks[[#This Row],[Task Name]]&lt;&gt;"",Tasks[[#This Row],[_Level]]=1),Tasks[[#This Row],[_Row]],"")</f>
        <v/>
      </c>
      <c r="EM185" s="41" t="str">
        <f aca="false">IF(AND(Tasks[[#This Row],[_IsLeaf]]=1,N(Tasks[[#This Row],[Duration]])=0),Tasks[[#This Row],[Planned Finish]]+Tasks[[#This Row],[_Row]]/100000,"")</f>
        <v/>
      </c>
      <c r="EN185" s="41" t="str">
        <f aca="false">IF(AND(Tasks[[#This Row],[_IsLeaf]]=1,Tasks[[#This Row],[_LeafProgress]]&lt;1,OR(N(Tasks[[#This Row],[Finish Var]])&gt;0,Tasks[[#This Row],[Status]]="Late Start")),MAX(0,Tasks[[#This Row],[Finish Var]])+1-Tasks[[#This Row],[_Row]]/1000000,"")</f>
        <v/>
      </c>
      <c r="EO185" s="41" t="str">
        <f aca="false">IF(AND(Tasks[[#This Row],[_IsLeaf]]=1,N(Tasks[[#This Row],[Actual Start]])=0,Tasks[[#This Row],[_ShownFcstStart]]&gt;=StatusDate,Tasks[[#This Row],[_ShownFcstStart]]&lt;=LookaheadEnd),Tasks[[#This Row],[_ShownFcstStart]]+Tasks[[#This Row],[_Row]]/100000,"")</f>
        <v/>
      </c>
      <c r="EP185" s="41" t="str">
        <f aca="false">IF(AND(Tasks[[#This Row],[_IsLeaf]]=1,Tasks[[#This Row],[_LeafProgress]]&lt;1,Tasks[[#This Row],[_ShownFcstFinish]]&gt;=StatusDate,Tasks[[#This Row],[_ShownFcstFinish]]&lt;=LookaheadEnd),Tasks[[#This Row],[_ShownFcstFinish]]+Tasks[[#This Row],[_Row]]/100000,"")</f>
        <v/>
      </c>
      <c r="EQ185" s="41" t="str">
        <f aca="false">IF(Tasks[[#This Row],[_LeafCritical]],Tasks[[#This Row],[_ShownFcstStart]]+Tasks[[#This Row],[_Row]]/100000,"")</f>
        <v/>
      </c>
      <c r="ER185" s="41" t="n">
        <f aca="false">Tasks[[#This Row],[_LeafWork]]*Tasks[[#This Row],[_LeafProgress]]</f>
        <v>0</v>
      </c>
      <c r="ES185" s="101" t="str">
        <f aca="false">IF(AND(Tasks[[#This Row],[_IsLeaf]]=1,Tasks[[#This Row],[_LeafProgress]]&gt;=1),IF(N(Tasks[[#This Row],[Actual Finish]])&gt;0,Tasks[[#This Row],[Actual Finish]],Tasks[[#This Row],[_ShownFcstFinish]]),"")</f>
        <v/>
      </c>
      <c r="ET185" s="41" t="n">
        <f aca="false">IF(Tasks[[#This Row],[_IsLeaf]]=1,N(Tasks[[#This Row],[Story Points]]),0)</f>
        <v>0</v>
      </c>
      <c r="EU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29"/>
      <c r="O186" s="29"/>
      <c r="P186" s="29"/>
      <c r="Q186" s="29"/>
      <c r="R186" s="29"/>
      <c r="S186" s="29"/>
      <c r="T186" s="30"/>
      <c r="U186" s="75"/>
      <c r="V186" s="75"/>
      <c r="W186" s="25" t="str">
        <f aca="false">IF(Tasks[[#This Row],[Task Name]]="","",IF(N(Tasks[[#This Row],[Baseline Start]])&gt;0,Tasks[[#This Row],[Baseline Start]],Tasks[[#This Row],[_CalcStart]]))</f>
        <v/>
      </c>
      <c r="X186" s="25" t="str">
        <f aca="false">IF(Tasks[[#This Row],[Task Name]]="","",IF(N(Tasks[[#This Row],[Baseline Finish]])&gt;0,Tasks[[#This Row],[Baseline Finish]],Tasks[[#This Row],[_CalcFinish]]))</f>
        <v/>
      </c>
      <c r="Y186" s="75"/>
      <c r="Z186" s="75"/>
      <c r="AA186" s="25" t="str">
        <f aca="false">IF(Tasks[[#This Row],[Task Name]]="","",IF(Tasks[[#This Row],[_IsSummary]],MIN(INDEX(Tasks[_ShownFcstStart],Tasks[[#This Row],[_Row]]+1):INDEX(Tasks[_ShownFcstStart],Tasks[[#This Row],[_Row]]+Tasks[[#This Row],[_Descendants]])),Tasks[[#This Row],[_ShownFcstStart]]))</f>
        <v/>
      </c>
      <c r="AB186" s="25" t="str">
        <f aca="false">IF(Tasks[[#This Row],[Task Name]]="","",IF(Tasks[[#This Row],[_IsSummary]],MAX(INDEX(Tasks[_ShownFcstFinish],Tasks[[#This Row],[_Row]]+1):INDEX(Tasks[_ShownFcstFinish],Tasks[[#This Row],[_Row]]+Tasks[[#This Row],[_Descendants]])),Tasks[[#This Row],[_ShownFcstFinish]]))</f>
        <v/>
      </c>
      <c r="AC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6" s="25" t="str">
        <f aca="false">IF(Tasks[[#This Row],[Task Name]]="","",IF(Tasks[[#This Row],[_IsSummary]],MIN(INDEX(Tasks[_LeafLateStart],Tasks[[#This Row],[_Row]]+1):INDEX(Tasks[_LeafLateStart],Tasks[[#This Row],[_Row]]+Tasks[[#This Row],[_Descendants]])),Tasks[[#This Row],[_LeafLateStart]]))</f>
        <v/>
      </c>
      <c r="AF186" s="25" t="str">
        <f aca="false">IF(Tasks[[#This Row],[Task Name]]="","",IF(Tasks[[#This Row],[_IsSummary]],MAX(INDEX(Tasks[_LeafLateFinish],Tasks[[#This Row],[_Row]]+1):INDEX(Tasks[_LeafLateFinish],Tasks[[#This Row],[_Row]]+Tasks[[#This Row],[_Descendants]])),Tasks[[#This Row],[_LeafLateFinish]]))</f>
        <v/>
      </c>
      <c r="AG186" s="28" t="str">
        <f aca="false">IF(Tasks[[#This Row],[Task Name]]="","",IF(Tasks[[#This Row],[_IsSummary]],MIN(INDEX(Tasks[_LeafTotalSlack],Tasks[[#This Row],[_Row]]+1):INDEX(Tasks[_LeafTotalSlack],Tasks[[#This Row],[_Row]]+Tasks[[#This Row],[_Descendants]])),Tasks[[#This Row],[_LeafTotalSlack]]))</f>
        <v/>
      </c>
      <c r="AH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6" s="28" t="str">
        <f aca="false">IF(Tasks[[#This Row],[Task Name]]="","",IF(IF(Tasks[[#This Row],[_IsSummary]],COUNTIF(INDEX(Tasks[_LeafCritical],Tasks[[#This Row],[_Row]]+1):INDEX(Tasks[_LeafCritical],Tasks[[#This Row],[_Row]]+Tasks[[#This Row],[_Descendants]]),TRUE())&gt;0,Tasks[[#This Row],[_LeafCritical]]),"Yes",""))</f>
        <v/>
      </c>
      <c r="AJ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6" s="89"/>
      <c r="AM1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6" s="28" t="str">
        <f aca="false">IF(Tasks[[#This Row],[Task Name]]="","",IF(Tasks[[#This Row],[Progress]]&gt;=1,"Complete",IF(OR(N(Tasks[[#This Row],[Actual Start]])&gt;0,Tasks[[#This Row],[Progress]]&gt;0),IF(Tasks[[#This Row],[Finish Var]]&gt;0,"Behind","In Progress"),IF(Tasks[[#This Row],[Planned Start]]&lt;StatusDate,"Late Start","Not Started"))))</f>
        <v/>
      </c>
      <c r="AO186" s="30"/>
      <c r="AP186" s="89"/>
      <c r="AQ1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6" s="96" t="str">
        <f aca="false">IF(Tasks[[#This Row],[Task Name]]="","",IF(Tasks[[#This Row],[_IsSummary]],SUM(INDEX(Tasks[_LeafTotalWork],Tasks[[#This Row],[_Row]]+1):INDEX(Tasks[_LeafTotalWork],Tasks[[#This Row],[_Row]]+Tasks[[#This Row],[_Descendants]])),Tasks[[#This Row],[_LeafTotalWork]]))</f>
        <v/>
      </c>
      <c r="AT186" s="97" t="str">
        <f aca="false">IF(Tasks[[#This Row],[Task Name]]="","",IF(Tasks[[#This Row],[_IsSummary]],SUM(INDEX(Tasks[_LeafTotalCost],Tasks[[#This Row],[_Row]]+1):INDEX(Tasks[_LeafTotalCost],Tasks[[#This Row],[_Row]]+Tasks[[#This Row],[_Descendants]])),Tasks[[#This Row],[_LeafTotalCost]]))</f>
        <v/>
      </c>
      <c r="AU186" s="98"/>
      <c r="AV186" s="29"/>
      <c r="AW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6" s="83"/>
      <c r="AY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6" s="30"/>
      <c r="BA186" s="25" t="str">
        <f aca="false">IF(Tasks[[#This Row],[Task Name]]="","",Tasks[[#This Row],[Forecast Start]])</f>
        <v/>
      </c>
      <c r="BB186" s="25" t="str">
        <f aca="false">IF(Tasks[[#This Row],[Task Name]]="","",Tasks[[#This Row],[Forecast Finish]])</f>
        <v/>
      </c>
      <c r="BC186" s="28" t="str">
        <f aca="false">IF(Tasks[[#This Row],[Task Name]]="","",IF(Tasks[[#This Row],[_IsSummary]],NETWORKDAYS.INTL(Tasks[[#This Row],[Forecast Start]],Tasks[[#This Row],[Forecast Finish]],WorkWeek,Holidays),N(Tasks[[#This Row],[Duration]])))</f>
        <v/>
      </c>
      <c r="BD186" s="96" t="str">
        <f aca="false">IF(Tasks[[#This Row],[Task Name]]="","",Tasks[[#This Row],[Work]])</f>
        <v/>
      </c>
      <c r="BE186" s="97" t="str">
        <f aca="false">IF(Tasks[[#This Row],[Task Name]]="","",Tasks[[#This Row],[Cost]])</f>
        <v/>
      </c>
      <c r="BF186" s="75"/>
      <c r="BG186" s="75"/>
      <c r="BH186" s="29"/>
      <c r="BI186" s="99"/>
      <c r="BJ186" s="98"/>
      <c r="BK186" s="28" t="str">
        <f aca="false">IF(OR(Tasks[[#This Row],[Task Name]]="",Tasks[[#This Row],[Baseline Duration]]=""),"",Tasks[[#This Row],[BL Source Duration]]-N(Tasks[[#This Row],[Baseline Duration]]))</f>
        <v/>
      </c>
      <c r="BL186" s="96" t="str">
        <f aca="false">IF(OR(Tasks[[#This Row],[Task Name]]="",Tasks[[#This Row],[Baseline Work]]=""),"",Tasks[[#This Row],[Work]]-N(Tasks[[#This Row],[Baseline Work]]))</f>
        <v/>
      </c>
      <c r="BM186" s="97" t="str">
        <f aca="false">IF(OR(Tasks[[#This Row],[Task Name]]="",Tasks[[#This Row],[Baseline Cost]]=""),"",Tasks[[#This Row],[Cost]]-N(Tasks[[#This Row],[Baseline Cost]]))</f>
        <v/>
      </c>
      <c r="BN186" s="97" t="str">
        <f aca="false">IF(Tasks[[#This Row],[Task Name]]="","",IF(Tasks[[#This Row],[_IsSummary]],SUM(INDEX(Tasks[_LeafBudget],Tasks[[#This Row],[_Row]]+1):INDEX(Tasks[_LeafBudget],Tasks[[#This Row],[_Row]]+Tasks[[#This Row],[_Descendants]])),Tasks[[#This Row],[_LeafBudget]]))</f>
        <v/>
      </c>
      <c r="BO186" s="97" t="str">
        <f aca="false">IF(Tasks[[#This Row],[Task Name]]="","",IF(Tasks[[#This Row],[_IsSummary]],SUM(INDEX(Tasks[_LeafPV],Tasks[[#This Row],[_Row]]+1):INDEX(Tasks[_LeafPV],Tasks[[#This Row],[_Row]]+Tasks[[#This Row],[_Descendants]])),Tasks[[#This Row],[_LeafPV]]))</f>
        <v/>
      </c>
      <c r="BP186" s="97" t="str">
        <f aca="false">IF(Tasks[[#This Row],[Task Name]]="","",IF(Tasks[[#This Row],[_IsSummary]],SUM(INDEX(Tasks[_LeafEV],Tasks[[#This Row],[_Row]]+1):INDEX(Tasks[_LeafEV],Tasks[[#This Row],[_Row]]+Tasks[[#This Row],[_Descendants]])),Tasks[[#This Row],[_LeafEV]]))</f>
        <v/>
      </c>
      <c r="BQ186" s="97" t="str">
        <f aca="false">IF(Tasks[[#This Row],[Task Name]]="","",IF(Tasks[[#This Row],[_IsSummary]],SUM(INDEX(Tasks[_LeafAC],Tasks[[#This Row],[_Row]]+1):INDEX(Tasks[_LeafAC],Tasks[[#This Row],[_Row]]+Tasks[[#This Row],[_Descendants]])),Tasks[[#This Row],[_LeafAC]]))</f>
        <v/>
      </c>
      <c r="BR186" s="41" t="str">
        <f aca="false">IF(Tasks[[#This Row],[Task Name]]="","",MAX(1,N(Tasks[[#This Row],[Level]])))</f>
        <v/>
      </c>
      <c r="BS186" s="41" t="n">
        <f aca="false">ROW()-ROW(Tasks[[#Headers],[ID]])</f>
        <v>181</v>
      </c>
      <c r="BT186" s="41" t="n">
        <f aca="false">IF(OR(Tasks[[#This Row],[Task Name]]="",Tasks[[#This Row],[_Level]]&lt;=1),0,IFERROR(LOOKUP(2,1/(Tasks[[#Headers],[_Level]]:Tasks[[#This Row],[_Level]]=Tasks[[#This Row],[_Level]]-1),ROW(Tasks[[#Headers],[_Level]]:Tasks[[#This Row],[_Level]])),0))</f>
        <v>0</v>
      </c>
      <c r="BU186" s="41" t="n">
        <f aca="false">IFERROR(N(INDEX(Tasks[_Level],Tasks[[#This Row],[_Row]]+1)),0)</f>
        <v>0</v>
      </c>
      <c r="BV186" s="100" t="b">
        <f aca="false">AND(Tasks[[#This Row],[Task Name]]&lt;&gt;"",Tasks[[#This Row],[_NextLevel]]&gt;Tasks[[#This Row],[_Level]])</f>
        <v>0</v>
      </c>
      <c r="BW186" s="41" t="n">
        <f aca="false">IF(Tasks[[#This Row],[_IsSummary]],COUNTIF(Tasks[WBS],Tasks[[#This Row],[WBS]]&amp;".*"),0)</f>
        <v>0</v>
      </c>
      <c r="BX186" s="41" t="n">
        <f aca="false">IF(AND(Tasks[[#This Row],[Task Name]]&lt;&gt;"",NOT(Tasks[[#This Row],[_IsSummary]])),1,0)</f>
        <v>0</v>
      </c>
      <c r="BY186" s="41" t="n">
        <f aca="false">IF(N(Tasks[[#This Row],[Pred1 UID]])=0,0,IFERROR(MATCH(Tasks[[#This Row],[Pred1 UID]],Tasks[UID],0),-1))</f>
        <v>0</v>
      </c>
      <c r="BZ186" s="41" t="n">
        <f aca="false">IF(N(Tasks[[#This Row],[Pred2 UID]])=0,0,IFERROR(MATCH(Tasks[[#This Row],[Pred2 UID]],Tasks[UID],0),-1))</f>
        <v>0</v>
      </c>
      <c r="CA186" s="41" t="n">
        <f aca="false">IF(N(Tasks[[#This Row],[Pred3 UID]])=0,0,IFERROR(MATCH(Tasks[[#This Row],[Pred3 UID]],Tasks[UID],0),-1))</f>
        <v>0</v>
      </c>
      <c r="CB186" s="41" t="n">
        <f aca="false">IF(N(Tasks[[#This Row],[Pred4 UID]])=0,0,IFERROR(MATCH(Tasks[[#This Row],[Pred4 UID]],Tasks[UID],0),-1))</f>
        <v>0</v>
      </c>
      <c r="CC1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6" s="101" t="n">
        <f aca="false">IF(OR(Tasks[[#This Row],[_ConstraintCode]]=2,Tasks[[#This Row],[_ConstraintCode]]=3,Tasks[[#This Row],[_ConstraintCode]]=4,Tasks[[#This Row],[_ConstraintCode]]=6),Tasks[[#This Row],[_ConstraintStart]],0)</f>
        <v>0</v>
      </c>
      <c r="CF186" s="101" t="n">
        <f aca="false">IF(OR(Tasks[[#This Row],[_ConstraintCode]]=2,Tasks[[#This Row],[_ConstraintCode]]=3,Tasks[[#This Row],[_ConstraintCode]]=5,Tasks[[#This Row],[_ConstraintCode]]=7),Tasks[[#This Row],[_ConstraintStart]],2958465)</f>
        <v>2958465</v>
      </c>
      <c r="CG18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6" s="101" t="str">
        <f aca="false">IF(NOT(Tasks[[#This Row],[_IsLeaf]]=1),"",IF(N(Tasks[[#This Row],[Duration]])&lt;=0,Tasks[[#This Row],[_LeafCalcStart]],WORKDAY.INTL(Tasks[[#This Row],[_LeafCalcStart]],Tasks[[#This Row],[Duration]]-1,WorkWeek,Holidays)))</f>
        <v/>
      </c>
      <c r="CI18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6" s="41" t="n">
        <f aca="false">IF(NOT(Tasks[[#This Row],[_IsLeaf]]=1),0,IF(N(Tasks[[#This Row],[Actual Finish]])&gt;0,1,MIN(1,N(Tasks[[#This Row],[% Complete]]))))</f>
        <v>0</v>
      </c>
      <c r="CL186" s="41" t="n">
        <f aca="false">IF(OR(NOT(Tasks[[#This Row],[_IsLeaf]]=1),Tasks[[#This Row],[Resource]]=""),0,N(Tasks[[#This Row],[Duration]])*HoursPerDay*IF(Tasks[[#This Row],[Units]]="",DefaultUnits,Tasks[[#This Row],[Units]]))</f>
        <v>0</v>
      </c>
      <c r="CM186" s="41" t="n">
        <f aca="false">IF(Tasks[[#This Row],[_LeafWork]]=0,0,Tasks[[#This Row],[_LeafWork]]*IFERROR(INDEX(res_Rate,MATCH(Tasks[[#This Row],[Resource]],res_Name,0)),0))</f>
        <v>0</v>
      </c>
      <c r="CN186" s="41" t="n">
        <f aca="false">Tasks[[#This Row],[_LeafWork]]+IF(Tasks[[#This Row],[_IsLeaf]]=1,SUMIFS(asg_Work,asg_TaskUID,Tasks[[#This Row],[UID]],asg_Valid,1),0)</f>
        <v>0</v>
      </c>
      <c r="CO186" s="41" t="n">
        <f aca="false">Tasks[[#This Row],[_LeafCost]]+IF(Tasks[[#This Row],[_IsLeaf]]=1,SUMIFS(asg_Cost,asg_TaskUID,Tasks[[#This Row],[UID]],asg_Valid,1),0)</f>
        <v>0</v>
      </c>
      <c r="CP186" s="41" t="n">
        <f aca="false">IF(Tasks[[#This Row],[_LeafTotalCost]]=0,Tasks[[#This Row],[_LeafAC]],Tasks[[#This Row],[_LeafAC]]*Tasks[[#This Row],[_LeafCost]]/Tasks[[#This Row],[_LeafTotalCost]])</f>
        <v>0</v>
      </c>
      <c r="CQ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6" s="41" t="n">
        <f aca="false">IF(NOT(Tasks[[#This Row],[_IsLeaf]]=1),0,MAX(_xlfn.MAXIFS(Tasks[_Row],Tasks[Pred1 UID],Tasks[[#This Row],[UID]]),_xlfn.MAXIFS(Tasks[_Row],Tasks[Pred2 UID],Tasks[[#This Row],[UID]]),_xlfn.MAXIFS(Tasks[_Row],Tasks[Pred3 UID],Tasks[[#This Row],[UID]]),_xlfn.MAXIFS(Tasks[_Row],Tasks[Pred4 UID],Tasks[[#This Row],[UID]])))</f>
        <v>0</v>
      </c>
      <c r="CZ1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6" s="101" t="str">
        <f aca="false">IF(NOT(Tasks[[#This Row],[_IsLeaf]]=1),"",IF(N(Tasks[[#This Row],[Duration]])&lt;=0,Tasks[[#This Row],[_LeafLateFinish]],WORKDAY.INTL(Tasks[[#This Row],[_LeafLateFinish]],-(Tasks[[#This Row],[Duration]]-1),WorkWeek,Holidays)))</f>
        <v/>
      </c>
      <c r="DC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6" s="100" t="b">
        <f aca="false">AND(Tasks[[#This Row],[_IsLeaf]]=1,Tasks[[#This Row],[_LeafProgress]]&lt;1,N(Tasks[[#This Row],[_LeafTotalSlack]])&lt;=CriticalSlackDays)</f>
        <v>0</v>
      </c>
      <c r="DE186" s="41" t="n">
        <f aca="false">IF(AND(Tasks[[#This Row],[_IsLeaf]]=1,Tasks[[#This Row],[_ConstraintCode]]=1,Tasks[[#This Row],[Mode]]&lt;&gt;"Manual",N(Tasks[[#This Row],[Actual Start]])=0),MAX(0,N(Tasks[[#This Row],[Free Slack]])),0)</f>
        <v>0</v>
      </c>
      <c r="DF186" s="101" t="str">
        <f aca="false">IF(NOT(Tasks[[#This Row],[_IsLeaf]]=1),"",IF(Tasks[[#This Row],[_AlapShift]]=0,Tasks[[#This Row],[_LeafCalcStart]],WORKDAY.INTL(Tasks[[#This Row],[_LeafCalcStart]],Tasks[[#This Row],[_AlapShift]],WorkWeek,Holidays)))</f>
        <v/>
      </c>
      <c r="DG186" s="101" t="str">
        <f aca="false">IF(NOT(Tasks[[#This Row],[_IsLeaf]]=1),"",IF(Tasks[[#This Row],[_AlapShift]]=0,Tasks[[#This Row],[_LeafCalcFinish]],WORKDAY.INTL(Tasks[[#This Row],[_LeafCalcFinish]],Tasks[[#This Row],[_AlapShift]],WorkWeek,Holidays)))</f>
        <v/>
      </c>
      <c r="DH186" s="101" t="str">
        <f aca="false">IF(NOT(Tasks[[#This Row],[_IsLeaf]]=1),"",IF(Tasks[[#This Row],[_AlapShift]]=0,Tasks[[#This Row],[_LeafFcstStart]],WORKDAY.INTL(Tasks[[#This Row],[_LeafFcstStart]],Tasks[[#This Row],[_AlapShift]],WorkWeek,Holidays)))</f>
        <v/>
      </c>
      <c r="DI186" s="101" t="str">
        <f aca="false">IF(NOT(Tasks[[#This Row],[_IsLeaf]]=1),"",IF(Tasks[[#This Row],[_AlapShift]]=0,Tasks[[#This Row],[_LeafFcstFinish]],WORKDAY.INTL(Tasks[[#This Row],[_LeafFcstFinish]],Tasks[[#This Row],[_AlapShift]],WorkWeek,Holidays)))</f>
        <v/>
      </c>
      <c r="DJ186" s="101" t="str">
        <f aca="false">IF(Tasks[[#This Row],[Task Name]]="","",IF(Tasks[[#This Row],[_IsSummary]],MIN(INDEX(Tasks[_ShownCalcStart],Tasks[[#This Row],[_Row]]+1):INDEX(Tasks[_ShownCalcStart],Tasks[[#This Row],[_Row]]+Tasks[[#This Row],[_Descendants]])),Tasks[[#This Row],[_ShownCalcStart]]))</f>
        <v/>
      </c>
      <c r="DK186" s="101" t="str">
        <f aca="false">IF(Tasks[[#This Row],[Task Name]]="","",IF(Tasks[[#This Row],[_IsSummary]],MAX(INDEX(Tasks[_ShownCalcFinish],Tasks[[#This Row],[_Row]]+1):INDEX(Tasks[_ShownCalcFinish],Tasks[[#This Row],[_Row]]+Tasks[[#This Row],[_Descendants]])),Tasks[[#This Row],[_ShownCalcFinish]]))</f>
        <v/>
      </c>
      <c r="D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6" s="41" t="n">
        <f aca="false">IF(AND(Tasks[[#This Row],[_IsLeaf]]=1,Tasks[[#This Row],[_LeafTotalWork]]&gt;0),NETWORKDAYS.INTL(ProjectStart,Tasks[[#This Row],[_ShownFcstStart]],WorkWeek,Holidays),0)</f>
        <v>0</v>
      </c>
      <c r="DY186" s="41" t="n">
        <f aca="false">IF(AND(Tasks[[#This Row],[_IsLeaf]]=1,Tasks[[#This Row],[_LeafTotalWork]]&gt;0),MAX(Tasks[[#This Row],[_StartWorkday]],NETWORKDAYS.INTL(ProjectStart,Tasks[[#This Row],[_ShownFcstFinish]],WorkWeek,Holidays)),0)</f>
        <v>0</v>
      </c>
      <c r="DZ186" s="41" t="n">
        <f aca="false">IF(AND(Tasks[[#This Row],[_IsLeaf]]=1,Tasks[[#This Row],[_LeafTotalWork]]&gt;0),Tasks[[#This Row],[_LeafWork]]/(Tasks[[#This Row],[_FinishWorkday]]-Tasks[[#This Row],[_StartWorkday]]+1),0)</f>
        <v>0</v>
      </c>
      <c r="EA186" s="41" t="n">
        <f aca="false">Tasks[[#This Row],[_WorkPerWorkday]]*(Tasks[[#This Row],[_StartWorkday]]-1)</f>
        <v>-0</v>
      </c>
      <c r="EB186" s="41" t="n">
        <f aca="false">IF(Tasks[[#This Row],[_IsLeaf]]=1,MAX(N(Tasks[[#This Row],[Duration]]),0.1),0)</f>
        <v>0</v>
      </c>
      <c r="EC186" s="41" t="n">
        <f aca="false">Tasks[[#This Row],[_WeightDur]]*Tasks[[#This Row],[_LeafProgress]]</f>
        <v>0</v>
      </c>
      <c r="ED1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6" s="41" t="str">
        <f aca="false">IF(AND(Tasks[[#This Row],[_IsLeaf]]=1,N(Tasks[[#This Row],[Duration]])=0,Tasks[[#This Row],[_LeafProgress]]&lt;1),Tasks[[#This Row],[_ShownFcstFinish]]+Tasks[[#This Row],[_Row]]/100000,"")</f>
        <v/>
      </c>
      <c r="EF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6" s="41" t="n">
        <f aca="false">IF(NOT(Tasks[[#This Row],[_IsLeaf]]=1),0,IF(Tasks[[#This Row],[Baseline Cost]]="",Tasks[[#This Row],[_LeafTotalCost]],N(Tasks[[#This Row],[Baseline Cost]])))</f>
        <v>0</v>
      </c>
      <c r="EH186" s="41" t="n">
        <f aca="false">Tasks[[#This Row],[_LeafBudget]]*Tasks[[#This Row],[_PlannedPct]]</f>
        <v>0</v>
      </c>
      <c r="EI186" s="41" t="n">
        <f aca="false">Tasks[[#This Row],[_LeafBudget]]*Tasks[[#This Row],[_LeafProgress]]</f>
        <v>0</v>
      </c>
      <c r="EJ186" s="41" t="n">
        <f aca="false">IF(NOT(Tasks[[#This Row],[_IsLeaf]]=1),0,IF(Tasks[[#This Row],[Actual Cost]]="",Tasks[[#This Row],[_LeafTotalCost]]*Tasks[[#This Row],[_LeafProgress]],N(Tasks[[#This Row],[Actual Cost]])))</f>
        <v>0</v>
      </c>
      <c r="EK186" s="41" t="str">
        <f aca="false">IF(Tasks[[#This Row],[Task Name]]="","",LEFT(Tasks[[#This Row],[WBS]],FIND(".",Tasks[[#This Row],[WBS]]&amp;".")-1))</f>
        <v/>
      </c>
      <c r="EL186" s="41" t="str">
        <f aca="false">IF(AND(Tasks[[#This Row],[Task Name]]&lt;&gt;"",Tasks[[#This Row],[_Level]]=1),Tasks[[#This Row],[_Row]],"")</f>
        <v/>
      </c>
      <c r="EM186" s="41" t="str">
        <f aca="false">IF(AND(Tasks[[#This Row],[_IsLeaf]]=1,N(Tasks[[#This Row],[Duration]])=0),Tasks[[#This Row],[Planned Finish]]+Tasks[[#This Row],[_Row]]/100000,"")</f>
        <v/>
      </c>
      <c r="EN186" s="41" t="str">
        <f aca="false">IF(AND(Tasks[[#This Row],[_IsLeaf]]=1,Tasks[[#This Row],[_LeafProgress]]&lt;1,OR(N(Tasks[[#This Row],[Finish Var]])&gt;0,Tasks[[#This Row],[Status]]="Late Start")),MAX(0,Tasks[[#This Row],[Finish Var]])+1-Tasks[[#This Row],[_Row]]/1000000,"")</f>
        <v/>
      </c>
      <c r="EO186" s="41" t="str">
        <f aca="false">IF(AND(Tasks[[#This Row],[_IsLeaf]]=1,N(Tasks[[#This Row],[Actual Start]])=0,Tasks[[#This Row],[_ShownFcstStart]]&gt;=StatusDate,Tasks[[#This Row],[_ShownFcstStart]]&lt;=LookaheadEnd),Tasks[[#This Row],[_ShownFcstStart]]+Tasks[[#This Row],[_Row]]/100000,"")</f>
        <v/>
      </c>
      <c r="EP186" s="41" t="str">
        <f aca="false">IF(AND(Tasks[[#This Row],[_IsLeaf]]=1,Tasks[[#This Row],[_LeafProgress]]&lt;1,Tasks[[#This Row],[_ShownFcstFinish]]&gt;=StatusDate,Tasks[[#This Row],[_ShownFcstFinish]]&lt;=LookaheadEnd),Tasks[[#This Row],[_ShownFcstFinish]]+Tasks[[#This Row],[_Row]]/100000,"")</f>
        <v/>
      </c>
      <c r="EQ186" s="41" t="str">
        <f aca="false">IF(Tasks[[#This Row],[_LeafCritical]],Tasks[[#This Row],[_ShownFcstStart]]+Tasks[[#This Row],[_Row]]/100000,"")</f>
        <v/>
      </c>
      <c r="ER186" s="41" t="n">
        <f aca="false">Tasks[[#This Row],[_LeafWork]]*Tasks[[#This Row],[_LeafProgress]]</f>
        <v>0</v>
      </c>
      <c r="ES186" s="101" t="str">
        <f aca="false">IF(AND(Tasks[[#This Row],[_IsLeaf]]=1,Tasks[[#This Row],[_LeafProgress]]&gt;=1),IF(N(Tasks[[#This Row],[Actual Finish]])&gt;0,Tasks[[#This Row],[Actual Finish]],Tasks[[#This Row],[_ShownFcstFinish]]),"")</f>
        <v/>
      </c>
      <c r="ET186" s="41" t="n">
        <f aca="false">IF(Tasks[[#This Row],[_IsLeaf]]=1,N(Tasks[[#This Row],[Story Points]]),0)</f>
        <v>0</v>
      </c>
      <c r="EU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29"/>
      <c r="O187" s="29"/>
      <c r="P187" s="29"/>
      <c r="Q187" s="29"/>
      <c r="R187" s="29"/>
      <c r="S187" s="29"/>
      <c r="T187" s="30"/>
      <c r="U187" s="75"/>
      <c r="V187" s="75"/>
      <c r="W187" s="25" t="str">
        <f aca="false">IF(Tasks[[#This Row],[Task Name]]="","",IF(N(Tasks[[#This Row],[Baseline Start]])&gt;0,Tasks[[#This Row],[Baseline Start]],Tasks[[#This Row],[_CalcStart]]))</f>
        <v/>
      </c>
      <c r="X187" s="25" t="str">
        <f aca="false">IF(Tasks[[#This Row],[Task Name]]="","",IF(N(Tasks[[#This Row],[Baseline Finish]])&gt;0,Tasks[[#This Row],[Baseline Finish]],Tasks[[#This Row],[_CalcFinish]]))</f>
        <v/>
      </c>
      <c r="Y187" s="75"/>
      <c r="Z187" s="75"/>
      <c r="AA187" s="25" t="str">
        <f aca="false">IF(Tasks[[#This Row],[Task Name]]="","",IF(Tasks[[#This Row],[_IsSummary]],MIN(INDEX(Tasks[_ShownFcstStart],Tasks[[#This Row],[_Row]]+1):INDEX(Tasks[_ShownFcstStart],Tasks[[#This Row],[_Row]]+Tasks[[#This Row],[_Descendants]])),Tasks[[#This Row],[_ShownFcstStart]]))</f>
        <v/>
      </c>
      <c r="AB187" s="25" t="str">
        <f aca="false">IF(Tasks[[#This Row],[Task Name]]="","",IF(Tasks[[#This Row],[_IsSummary]],MAX(INDEX(Tasks[_ShownFcstFinish],Tasks[[#This Row],[_Row]]+1):INDEX(Tasks[_ShownFcstFinish],Tasks[[#This Row],[_Row]]+Tasks[[#This Row],[_Descendants]])),Tasks[[#This Row],[_ShownFcstFinish]]))</f>
        <v/>
      </c>
      <c r="AC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7" s="25" t="str">
        <f aca="false">IF(Tasks[[#This Row],[Task Name]]="","",IF(Tasks[[#This Row],[_IsSummary]],MIN(INDEX(Tasks[_LeafLateStart],Tasks[[#This Row],[_Row]]+1):INDEX(Tasks[_LeafLateStart],Tasks[[#This Row],[_Row]]+Tasks[[#This Row],[_Descendants]])),Tasks[[#This Row],[_LeafLateStart]]))</f>
        <v/>
      </c>
      <c r="AF187" s="25" t="str">
        <f aca="false">IF(Tasks[[#This Row],[Task Name]]="","",IF(Tasks[[#This Row],[_IsSummary]],MAX(INDEX(Tasks[_LeafLateFinish],Tasks[[#This Row],[_Row]]+1):INDEX(Tasks[_LeafLateFinish],Tasks[[#This Row],[_Row]]+Tasks[[#This Row],[_Descendants]])),Tasks[[#This Row],[_LeafLateFinish]]))</f>
        <v/>
      </c>
      <c r="AG187" s="28" t="str">
        <f aca="false">IF(Tasks[[#This Row],[Task Name]]="","",IF(Tasks[[#This Row],[_IsSummary]],MIN(INDEX(Tasks[_LeafTotalSlack],Tasks[[#This Row],[_Row]]+1):INDEX(Tasks[_LeafTotalSlack],Tasks[[#This Row],[_Row]]+Tasks[[#This Row],[_Descendants]])),Tasks[[#This Row],[_LeafTotalSlack]]))</f>
        <v/>
      </c>
      <c r="AH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7" s="28" t="str">
        <f aca="false">IF(Tasks[[#This Row],[Task Name]]="","",IF(IF(Tasks[[#This Row],[_IsSummary]],COUNTIF(INDEX(Tasks[_LeafCritical],Tasks[[#This Row],[_Row]]+1):INDEX(Tasks[_LeafCritical],Tasks[[#This Row],[_Row]]+Tasks[[#This Row],[_Descendants]]),TRUE())&gt;0,Tasks[[#This Row],[_LeafCritical]]),"Yes",""))</f>
        <v/>
      </c>
      <c r="AJ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7" s="89"/>
      <c r="AM1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7" s="28" t="str">
        <f aca="false">IF(Tasks[[#This Row],[Task Name]]="","",IF(Tasks[[#This Row],[Progress]]&gt;=1,"Complete",IF(OR(N(Tasks[[#This Row],[Actual Start]])&gt;0,Tasks[[#This Row],[Progress]]&gt;0),IF(Tasks[[#This Row],[Finish Var]]&gt;0,"Behind","In Progress"),IF(Tasks[[#This Row],[Planned Start]]&lt;StatusDate,"Late Start","Not Started"))))</f>
        <v/>
      </c>
      <c r="AO187" s="30"/>
      <c r="AP187" s="89"/>
      <c r="AQ1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7" s="96" t="str">
        <f aca="false">IF(Tasks[[#This Row],[Task Name]]="","",IF(Tasks[[#This Row],[_IsSummary]],SUM(INDEX(Tasks[_LeafTotalWork],Tasks[[#This Row],[_Row]]+1):INDEX(Tasks[_LeafTotalWork],Tasks[[#This Row],[_Row]]+Tasks[[#This Row],[_Descendants]])),Tasks[[#This Row],[_LeafTotalWork]]))</f>
        <v/>
      </c>
      <c r="AT187" s="97" t="str">
        <f aca="false">IF(Tasks[[#This Row],[Task Name]]="","",IF(Tasks[[#This Row],[_IsSummary]],SUM(INDEX(Tasks[_LeafTotalCost],Tasks[[#This Row],[_Row]]+1):INDEX(Tasks[_LeafTotalCost],Tasks[[#This Row],[_Row]]+Tasks[[#This Row],[_Descendants]])),Tasks[[#This Row],[_LeafTotalCost]]))</f>
        <v/>
      </c>
      <c r="AU187" s="98"/>
      <c r="AV187" s="29"/>
      <c r="AW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7" s="83"/>
      <c r="AY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7" s="30"/>
      <c r="BA187" s="25" t="str">
        <f aca="false">IF(Tasks[[#This Row],[Task Name]]="","",Tasks[[#This Row],[Forecast Start]])</f>
        <v/>
      </c>
      <c r="BB187" s="25" t="str">
        <f aca="false">IF(Tasks[[#This Row],[Task Name]]="","",Tasks[[#This Row],[Forecast Finish]])</f>
        <v/>
      </c>
      <c r="BC187" s="28" t="str">
        <f aca="false">IF(Tasks[[#This Row],[Task Name]]="","",IF(Tasks[[#This Row],[_IsSummary]],NETWORKDAYS.INTL(Tasks[[#This Row],[Forecast Start]],Tasks[[#This Row],[Forecast Finish]],WorkWeek,Holidays),N(Tasks[[#This Row],[Duration]])))</f>
        <v/>
      </c>
      <c r="BD187" s="96" t="str">
        <f aca="false">IF(Tasks[[#This Row],[Task Name]]="","",Tasks[[#This Row],[Work]])</f>
        <v/>
      </c>
      <c r="BE187" s="97" t="str">
        <f aca="false">IF(Tasks[[#This Row],[Task Name]]="","",Tasks[[#This Row],[Cost]])</f>
        <v/>
      </c>
      <c r="BF187" s="75"/>
      <c r="BG187" s="75"/>
      <c r="BH187" s="29"/>
      <c r="BI187" s="99"/>
      <c r="BJ187" s="98"/>
      <c r="BK187" s="28" t="str">
        <f aca="false">IF(OR(Tasks[[#This Row],[Task Name]]="",Tasks[[#This Row],[Baseline Duration]]=""),"",Tasks[[#This Row],[BL Source Duration]]-N(Tasks[[#This Row],[Baseline Duration]]))</f>
        <v/>
      </c>
      <c r="BL187" s="96" t="str">
        <f aca="false">IF(OR(Tasks[[#This Row],[Task Name]]="",Tasks[[#This Row],[Baseline Work]]=""),"",Tasks[[#This Row],[Work]]-N(Tasks[[#This Row],[Baseline Work]]))</f>
        <v/>
      </c>
      <c r="BM187" s="97" t="str">
        <f aca="false">IF(OR(Tasks[[#This Row],[Task Name]]="",Tasks[[#This Row],[Baseline Cost]]=""),"",Tasks[[#This Row],[Cost]]-N(Tasks[[#This Row],[Baseline Cost]]))</f>
        <v/>
      </c>
      <c r="BN187" s="97" t="str">
        <f aca="false">IF(Tasks[[#This Row],[Task Name]]="","",IF(Tasks[[#This Row],[_IsSummary]],SUM(INDEX(Tasks[_LeafBudget],Tasks[[#This Row],[_Row]]+1):INDEX(Tasks[_LeafBudget],Tasks[[#This Row],[_Row]]+Tasks[[#This Row],[_Descendants]])),Tasks[[#This Row],[_LeafBudget]]))</f>
        <v/>
      </c>
      <c r="BO187" s="97" t="str">
        <f aca="false">IF(Tasks[[#This Row],[Task Name]]="","",IF(Tasks[[#This Row],[_IsSummary]],SUM(INDEX(Tasks[_LeafPV],Tasks[[#This Row],[_Row]]+1):INDEX(Tasks[_LeafPV],Tasks[[#This Row],[_Row]]+Tasks[[#This Row],[_Descendants]])),Tasks[[#This Row],[_LeafPV]]))</f>
        <v/>
      </c>
      <c r="BP187" s="97" t="str">
        <f aca="false">IF(Tasks[[#This Row],[Task Name]]="","",IF(Tasks[[#This Row],[_IsSummary]],SUM(INDEX(Tasks[_LeafEV],Tasks[[#This Row],[_Row]]+1):INDEX(Tasks[_LeafEV],Tasks[[#This Row],[_Row]]+Tasks[[#This Row],[_Descendants]])),Tasks[[#This Row],[_LeafEV]]))</f>
        <v/>
      </c>
      <c r="BQ187" s="97" t="str">
        <f aca="false">IF(Tasks[[#This Row],[Task Name]]="","",IF(Tasks[[#This Row],[_IsSummary]],SUM(INDEX(Tasks[_LeafAC],Tasks[[#This Row],[_Row]]+1):INDEX(Tasks[_LeafAC],Tasks[[#This Row],[_Row]]+Tasks[[#This Row],[_Descendants]])),Tasks[[#This Row],[_LeafAC]]))</f>
        <v/>
      </c>
      <c r="BR187" s="41" t="str">
        <f aca="false">IF(Tasks[[#This Row],[Task Name]]="","",MAX(1,N(Tasks[[#This Row],[Level]])))</f>
        <v/>
      </c>
      <c r="BS187" s="41" t="n">
        <f aca="false">ROW()-ROW(Tasks[[#Headers],[ID]])</f>
        <v>182</v>
      </c>
      <c r="BT187" s="41" t="n">
        <f aca="false">IF(OR(Tasks[[#This Row],[Task Name]]="",Tasks[[#This Row],[_Level]]&lt;=1),0,IFERROR(LOOKUP(2,1/(Tasks[[#Headers],[_Level]]:Tasks[[#This Row],[_Level]]=Tasks[[#This Row],[_Level]]-1),ROW(Tasks[[#Headers],[_Level]]:Tasks[[#This Row],[_Level]])),0))</f>
        <v>0</v>
      </c>
      <c r="BU187" s="41" t="n">
        <f aca="false">IFERROR(N(INDEX(Tasks[_Level],Tasks[[#This Row],[_Row]]+1)),0)</f>
        <v>0</v>
      </c>
      <c r="BV187" s="100" t="b">
        <f aca="false">AND(Tasks[[#This Row],[Task Name]]&lt;&gt;"",Tasks[[#This Row],[_NextLevel]]&gt;Tasks[[#This Row],[_Level]])</f>
        <v>0</v>
      </c>
      <c r="BW187" s="41" t="n">
        <f aca="false">IF(Tasks[[#This Row],[_IsSummary]],COUNTIF(Tasks[WBS],Tasks[[#This Row],[WBS]]&amp;".*"),0)</f>
        <v>0</v>
      </c>
      <c r="BX187" s="41" t="n">
        <f aca="false">IF(AND(Tasks[[#This Row],[Task Name]]&lt;&gt;"",NOT(Tasks[[#This Row],[_IsSummary]])),1,0)</f>
        <v>0</v>
      </c>
      <c r="BY187" s="41" t="n">
        <f aca="false">IF(N(Tasks[[#This Row],[Pred1 UID]])=0,0,IFERROR(MATCH(Tasks[[#This Row],[Pred1 UID]],Tasks[UID],0),-1))</f>
        <v>0</v>
      </c>
      <c r="BZ187" s="41" t="n">
        <f aca="false">IF(N(Tasks[[#This Row],[Pred2 UID]])=0,0,IFERROR(MATCH(Tasks[[#This Row],[Pred2 UID]],Tasks[UID],0),-1))</f>
        <v>0</v>
      </c>
      <c r="CA187" s="41" t="n">
        <f aca="false">IF(N(Tasks[[#This Row],[Pred3 UID]])=0,0,IFERROR(MATCH(Tasks[[#This Row],[Pred3 UID]],Tasks[UID],0),-1))</f>
        <v>0</v>
      </c>
      <c r="CB187" s="41" t="n">
        <f aca="false">IF(N(Tasks[[#This Row],[Pred4 UID]])=0,0,IFERROR(MATCH(Tasks[[#This Row],[Pred4 UID]],Tasks[UID],0),-1))</f>
        <v>0</v>
      </c>
      <c r="CC1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7" s="101" t="n">
        <f aca="false">IF(OR(Tasks[[#This Row],[_ConstraintCode]]=2,Tasks[[#This Row],[_ConstraintCode]]=3,Tasks[[#This Row],[_ConstraintCode]]=4,Tasks[[#This Row],[_ConstraintCode]]=6),Tasks[[#This Row],[_ConstraintStart]],0)</f>
        <v>0</v>
      </c>
      <c r="CF187" s="101" t="n">
        <f aca="false">IF(OR(Tasks[[#This Row],[_ConstraintCode]]=2,Tasks[[#This Row],[_ConstraintCode]]=3,Tasks[[#This Row],[_ConstraintCode]]=5,Tasks[[#This Row],[_ConstraintCode]]=7),Tasks[[#This Row],[_ConstraintStart]],2958465)</f>
        <v>2958465</v>
      </c>
      <c r="CG18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7" s="101" t="str">
        <f aca="false">IF(NOT(Tasks[[#This Row],[_IsLeaf]]=1),"",IF(N(Tasks[[#This Row],[Duration]])&lt;=0,Tasks[[#This Row],[_LeafCalcStart]],WORKDAY.INTL(Tasks[[#This Row],[_LeafCalcStart]],Tasks[[#This Row],[Duration]]-1,WorkWeek,Holidays)))</f>
        <v/>
      </c>
      <c r="CI18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7" s="41" t="n">
        <f aca="false">IF(NOT(Tasks[[#This Row],[_IsLeaf]]=1),0,IF(N(Tasks[[#This Row],[Actual Finish]])&gt;0,1,MIN(1,N(Tasks[[#This Row],[% Complete]]))))</f>
        <v>0</v>
      </c>
      <c r="CL187" s="41" t="n">
        <f aca="false">IF(OR(NOT(Tasks[[#This Row],[_IsLeaf]]=1),Tasks[[#This Row],[Resource]]=""),0,N(Tasks[[#This Row],[Duration]])*HoursPerDay*IF(Tasks[[#This Row],[Units]]="",DefaultUnits,Tasks[[#This Row],[Units]]))</f>
        <v>0</v>
      </c>
      <c r="CM187" s="41" t="n">
        <f aca="false">IF(Tasks[[#This Row],[_LeafWork]]=0,0,Tasks[[#This Row],[_LeafWork]]*IFERROR(INDEX(res_Rate,MATCH(Tasks[[#This Row],[Resource]],res_Name,0)),0))</f>
        <v>0</v>
      </c>
      <c r="CN187" s="41" t="n">
        <f aca="false">Tasks[[#This Row],[_LeafWork]]+IF(Tasks[[#This Row],[_IsLeaf]]=1,SUMIFS(asg_Work,asg_TaskUID,Tasks[[#This Row],[UID]],asg_Valid,1),0)</f>
        <v>0</v>
      </c>
      <c r="CO187" s="41" t="n">
        <f aca="false">Tasks[[#This Row],[_LeafCost]]+IF(Tasks[[#This Row],[_IsLeaf]]=1,SUMIFS(asg_Cost,asg_TaskUID,Tasks[[#This Row],[UID]],asg_Valid,1),0)</f>
        <v>0</v>
      </c>
      <c r="CP187" s="41" t="n">
        <f aca="false">IF(Tasks[[#This Row],[_LeafTotalCost]]=0,Tasks[[#This Row],[_LeafAC]],Tasks[[#This Row],[_LeafAC]]*Tasks[[#This Row],[_LeafCost]]/Tasks[[#This Row],[_LeafTotalCost]])</f>
        <v>0</v>
      </c>
      <c r="CQ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7" s="41" t="n">
        <f aca="false">IF(NOT(Tasks[[#This Row],[_IsLeaf]]=1),0,MAX(_xlfn.MAXIFS(Tasks[_Row],Tasks[Pred1 UID],Tasks[[#This Row],[UID]]),_xlfn.MAXIFS(Tasks[_Row],Tasks[Pred2 UID],Tasks[[#This Row],[UID]]),_xlfn.MAXIFS(Tasks[_Row],Tasks[Pred3 UID],Tasks[[#This Row],[UID]]),_xlfn.MAXIFS(Tasks[_Row],Tasks[Pred4 UID],Tasks[[#This Row],[UID]])))</f>
        <v>0</v>
      </c>
      <c r="CZ1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7" s="101" t="str">
        <f aca="false">IF(NOT(Tasks[[#This Row],[_IsLeaf]]=1),"",IF(N(Tasks[[#This Row],[Duration]])&lt;=0,Tasks[[#This Row],[_LeafLateFinish]],WORKDAY.INTL(Tasks[[#This Row],[_LeafLateFinish]],-(Tasks[[#This Row],[Duration]]-1),WorkWeek,Holidays)))</f>
        <v/>
      </c>
      <c r="DC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7" s="100" t="b">
        <f aca="false">AND(Tasks[[#This Row],[_IsLeaf]]=1,Tasks[[#This Row],[_LeafProgress]]&lt;1,N(Tasks[[#This Row],[_LeafTotalSlack]])&lt;=CriticalSlackDays)</f>
        <v>0</v>
      </c>
      <c r="DE187" s="41" t="n">
        <f aca="false">IF(AND(Tasks[[#This Row],[_IsLeaf]]=1,Tasks[[#This Row],[_ConstraintCode]]=1,Tasks[[#This Row],[Mode]]&lt;&gt;"Manual",N(Tasks[[#This Row],[Actual Start]])=0),MAX(0,N(Tasks[[#This Row],[Free Slack]])),0)</f>
        <v>0</v>
      </c>
      <c r="DF187" s="101" t="str">
        <f aca="false">IF(NOT(Tasks[[#This Row],[_IsLeaf]]=1),"",IF(Tasks[[#This Row],[_AlapShift]]=0,Tasks[[#This Row],[_LeafCalcStart]],WORKDAY.INTL(Tasks[[#This Row],[_LeafCalcStart]],Tasks[[#This Row],[_AlapShift]],WorkWeek,Holidays)))</f>
        <v/>
      </c>
      <c r="DG187" s="101" t="str">
        <f aca="false">IF(NOT(Tasks[[#This Row],[_IsLeaf]]=1),"",IF(Tasks[[#This Row],[_AlapShift]]=0,Tasks[[#This Row],[_LeafCalcFinish]],WORKDAY.INTL(Tasks[[#This Row],[_LeafCalcFinish]],Tasks[[#This Row],[_AlapShift]],WorkWeek,Holidays)))</f>
        <v/>
      </c>
      <c r="DH187" s="101" t="str">
        <f aca="false">IF(NOT(Tasks[[#This Row],[_IsLeaf]]=1),"",IF(Tasks[[#This Row],[_AlapShift]]=0,Tasks[[#This Row],[_LeafFcstStart]],WORKDAY.INTL(Tasks[[#This Row],[_LeafFcstStart]],Tasks[[#This Row],[_AlapShift]],WorkWeek,Holidays)))</f>
        <v/>
      </c>
      <c r="DI187" s="101" t="str">
        <f aca="false">IF(NOT(Tasks[[#This Row],[_IsLeaf]]=1),"",IF(Tasks[[#This Row],[_AlapShift]]=0,Tasks[[#This Row],[_LeafFcstFinish]],WORKDAY.INTL(Tasks[[#This Row],[_LeafFcstFinish]],Tasks[[#This Row],[_AlapShift]],WorkWeek,Holidays)))</f>
        <v/>
      </c>
      <c r="DJ187" s="101" t="str">
        <f aca="false">IF(Tasks[[#This Row],[Task Name]]="","",IF(Tasks[[#This Row],[_IsSummary]],MIN(INDEX(Tasks[_ShownCalcStart],Tasks[[#This Row],[_Row]]+1):INDEX(Tasks[_ShownCalcStart],Tasks[[#This Row],[_Row]]+Tasks[[#This Row],[_Descendants]])),Tasks[[#This Row],[_ShownCalcStart]]))</f>
        <v/>
      </c>
      <c r="DK187" s="101" t="str">
        <f aca="false">IF(Tasks[[#This Row],[Task Name]]="","",IF(Tasks[[#This Row],[_IsSummary]],MAX(INDEX(Tasks[_ShownCalcFinish],Tasks[[#This Row],[_Row]]+1):INDEX(Tasks[_ShownCalcFinish],Tasks[[#This Row],[_Row]]+Tasks[[#This Row],[_Descendants]])),Tasks[[#This Row],[_ShownCalcFinish]]))</f>
        <v/>
      </c>
      <c r="D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7" s="41" t="n">
        <f aca="false">IF(AND(Tasks[[#This Row],[_IsLeaf]]=1,Tasks[[#This Row],[_LeafTotalWork]]&gt;0),NETWORKDAYS.INTL(ProjectStart,Tasks[[#This Row],[_ShownFcstStart]],WorkWeek,Holidays),0)</f>
        <v>0</v>
      </c>
      <c r="DY187" s="41" t="n">
        <f aca="false">IF(AND(Tasks[[#This Row],[_IsLeaf]]=1,Tasks[[#This Row],[_LeafTotalWork]]&gt;0),MAX(Tasks[[#This Row],[_StartWorkday]],NETWORKDAYS.INTL(ProjectStart,Tasks[[#This Row],[_ShownFcstFinish]],WorkWeek,Holidays)),0)</f>
        <v>0</v>
      </c>
      <c r="DZ187" s="41" t="n">
        <f aca="false">IF(AND(Tasks[[#This Row],[_IsLeaf]]=1,Tasks[[#This Row],[_LeafTotalWork]]&gt;0),Tasks[[#This Row],[_LeafWork]]/(Tasks[[#This Row],[_FinishWorkday]]-Tasks[[#This Row],[_StartWorkday]]+1),0)</f>
        <v>0</v>
      </c>
      <c r="EA187" s="41" t="n">
        <f aca="false">Tasks[[#This Row],[_WorkPerWorkday]]*(Tasks[[#This Row],[_StartWorkday]]-1)</f>
        <v>-0</v>
      </c>
      <c r="EB187" s="41" t="n">
        <f aca="false">IF(Tasks[[#This Row],[_IsLeaf]]=1,MAX(N(Tasks[[#This Row],[Duration]]),0.1),0)</f>
        <v>0</v>
      </c>
      <c r="EC187" s="41" t="n">
        <f aca="false">Tasks[[#This Row],[_WeightDur]]*Tasks[[#This Row],[_LeafProgress]]</f>
        <v>0</v>
      </c>
      <c r="ED1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7" s="41" t="str">
        <f aca="false">IF(AND(Tasks[[#This Row],[_IsLeaf]]=1,N(Tasks[[#This Row],[Duration]])=0,Tasks[[#This Row],[_LeafProgress]]&lt;1),Tasks[[#This Row],[_ShownFcstFinish]]+Tasks[[#This Row],[_Row]]/100000,"")</f>
        <v/>
      </c>
      <c r="EF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7" s="41" t="n">
        <f aca="false">IF(NOT(Tasks[[#This Row],[_IsLeaf]]=1),0,IF(Tasks[[#This Row],[Baseline Cost]]="",Tasks[[#This Row],[_LeafTotalCost]],N(Tasks[[#This Row],[Baseline Cost]])))</f>
        <v>0</v>
      </c>
      <c r="EH187" s="41" t="n">
        <f aca="false">Tasks[[#This Row],[_LeafBudget]]*Tasks[[#This Row],[_PlannedPct]]</f>
        <v>0</v>
      </c>
      <c r="EI187" s="41" t="n">
        <f aca="false">Tasks[[#This Row],[_LeafBudget]]*Tasks[[#This Row],[_LeafProgress]]</f>
        <v>0</v>
      </c>
      <c r="EJ187" s="41" t="n">
        <f aca="false">IF(NOT(Tasks[[#This Row],[_IsLeaf]]=1),0,IF(Tasks[[#This Row],[Actual Cost]]="",Tasks[[#This Row],[_LeafTotalCost]]*Tasks[[#This Row],[_LeafProgress]],N(Tasks[[#This Row],[Actual Cost]])))</f>
        <v>0</v>
      </c>
      <c r="EK187" s="41" t="str">
        <f aca="false">IF(Tasks[[#This Row],[Task Name]]="","",LEFT(Tasks[[#This Row],[WBS]],FIND(".",Tasks[[#This Row],[WBS]]&amp;".")-1))</f>
        <v/>
      </c>
      <c r="EL187" s="41" t="str">
        <f aca="false">IF(AND(Tasks[[#This Row],[Task Name]]&lt;&gt;"",Tasks[[#This Row],[_Level]]=1),Tasks[[#This Row],[_Row]],"")</f>
        <v/>
      </c>
      <c r="EM187" s="41" t="str">
        <f aca="false">IF(AND(Tasks[[#This Row],[_IsLeaf]]=1,N(Tasks[[#This Row],[Duration]])=0),Tasks[[#This Row],[Planned Finish]]+Tasks[[#This Row],[_Row]]/100000,"")</f>
        <v/>
      </c>
      <c r="EN187" s="41" t="str">
        <f aca="false">IF(AND(Tasks[[#This Row],[_IsLeaf]]=1,Tasks[[#This Row],[_LeafProgress]]&lt;1,OR(N(Tasks[[#This Row],[Finish Var]])&gt;0,Tasks[[#This Row],[Status]]="Late Start")),MAX(0,Tasks[[#This Row],[Finish Var]])+1-Tasks[[#This Row],[_Row]]/1000000,"")</f>
        <v/>
      </c>
      <c r="EO187" s="41" t="str">
        <f aca="false">IF(AND(Tasks[[#This Row],[_IsLeaf]]=1,N(Tasks[[#This Row],[Actual Start]])=0,Tasks[[#This Row],[_ShownFcstStart]]&gt;=StatusDate,Tasks[[#This Row],[_ShownFcstStart]]&lt;=LookaheadEnd),Tasks[[#This Row],[_ShownFcstStart]]+Tasks[[#This Row],[_Row]]/100000,"")</f>
        <v/>
      </c>
      <c r="EP187" s="41" t="str">
        <f aca="false">IF(AND(Tasks[[#This Row],[_IsLeaf]]=1,Tasks[[#This Row],[_LeafProgress]]&lt;1,Tasks[[#This Row],[_ShownFcstFinish]]&gt;=StatusDate,Tasks[[#This Row],[_ShownFcstFinish]]&lt;=LookaheadEnd),Tasks[[#This Row],[_ShownFcstFinish]]+Tasks[[#This Row],[_Row]]/100000,"")</f>
        <v/>
      </c>
      <c r="EQ187" s="41" t="str">
        <f aca="false">IF(Tasks[[#This Row],[_LeafCritical]],Tasks[[#This Row],[_ShownFcstStart]]+Tasks[[#This Row],[_Row]]/100000,"")</f>
        <v/>
      </c>
      <c r="ER187" s="41" t="n">
        <f aca="false">Tasks[[#This Row],[_LeafWork]]*Tasks[[#This Row],[_LeafProgress]]</f>
        <v>0</v>
      </c>
      <c r="ES187" s="101" t="str">
        <f aca="false">IF(AND(Tasks[[#This Row],[_IsLeaf]]=1,Tasks[[#This Row],[_LeafProgress]]&gt;=1),IF(N(Tasks[[#This Row],[Actual Finish]])&gt;0,Tasks[[#This Row],[Actual Finish]],Tasks[[#This Row],[_ShownFcstFinish]]),"")</f>
        <v/>
      </c>
      <c r="ET187" s="41" t="n">
        <f aca="false">IF(Tasks[[#This Row],[_IsLeaf]]=1,N(Tasks[[#This Row],[Story Points]]),0)</f>
        <v>0</v>
      </c>
      <c r="EU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29"/>
      <c r="O188" s="29"/>
      <c r="P188" s="29"/>
      <c r="Q188" s="29"/>
      <c r="R188" s="29"/>
      <c r="S188" s="29"/>
      <c r="T188" s="30"/>
      <c r="U188" s="75"/>
      <c r="V188" s="75"/>
      <c r="W188" s="25" t="str">
        <f aca="false">IF(Tasks[[#This Row],[Task Name]]="","",IF(N(Tasks[[#This Row],[Baseline Start]])&gt;0,Tasks[[#This Row],[Baseline Start]],Tasks[[#This Row],[_CalcStart]]))</f>
        <v/>
      </c>
      <c r="X188" s="25" t="str">
        <f aca="false">IF(Tasks[[#This Row],[Task Name]]="","",IF(N(Tasks[[#This Row],[Baseline Finish]])&gt;0,Tasks[[#This Row],[Baseline Finish]],Tasks[[#This Row],[_CalcFinish]]))</f>
        <v/>
      </c>
      <c r="Y188" s="75"/>
      <c r="Z188" s="75"/>
      <c r="AA188" s="25" t="str">
        <f aca="false">IF(Tasks[[#This Row],[Task Name]]="","",IF(Tasks[[#This Row],[_IsSummary]],MIN(INDEX(Tasks[_ShownFcstStart],Tasks[[#This Row],[_Row]]+1):INDEX(Tasks[_ShownFcstStart],Tasks[[#This Row],[_Row]]+Tasks[[#This Row],[_Descendants]])),Tasks[[#This Row],[_ShownFcstStart]]))</f>
        <v/>
      </c>
      <c r="AB188" s="25" t="str">
        <f aca="false">IF(Tasks[[#This Row],[Task Name]]="","",IF(Tasks[[#This Row],[_IsSummary]],MAX(INDEX(Tasks[_ShownFcstFinish],Tasks[[#This Row],[_Row]]+1):INDEX(Tasks[_ShownFcstFinish],Tasks[[#This Row],[_Row]]+Tasks[[#This Row],[_Descendants]])),Tasks[[#This Row],[_ShownFcstFinish]]))</f>
        <v/>
      </c>
      <c r="AC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8" s="25" t="str">
        <f aca="false">IF(Tasks[[#This Row],[Task Name]]="","",IF(Tasks[[#This Row],[_IsSummary]],MIN(INDEX(Tasks[_LeafLateStart],Tasks[[#This Row],[_Row]]+1):INDEX(Tasks[_LeafLateStart],Tasks[[#This Row],[_Row]]+Tasks[[#This Row],[_Descendants]])),Tasks[[#This Row],[_LeafLateStart]]))</f>
        <v/>
      </c>
      <c r="AF188" s="25" t="str">
        <f aca="false">IF(Tasks[[#This Row],[Task Name]]="","",IF(Tasks[[#This Row],[_IsSummary]],MAX(INDEX(Tasks[_LeafLateFinish],Tasks[[#This Row],[_Row]]+1):INDEX(Tasks[_LeafLateFinish],Tasks[[#This Row],[_Row]]+Tasks[[#This Row],[_Descendants]])),Tasks[[#This Row],[_LeafLateFinish]]))</f>
        <v/>
      </c>
      <c r="AG188" s="28" t="str">
        <f aca="false">IF(Tasks[[#This Row],[Task Name]]="","",IF(Tasks[[#This Row],[_IsSummary]],MIN(INDEX(Tasks[_LeafTotalSlack],Tasks[[#This Row],[_Row]]+1):INDEX(Tasks[_LeafTotalSlack],Tasks[[#This Row],[_Row]]+Tasks[[#This Row],[_Descendants]])),Tasks[[#This Row],[_LeafTotalSlack]]))</f>
        <v/>
      </c>
      <c r="AH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8" s="28" t="str">
        <f aca="false">IF(Tasks[[#This Row],[Task Name]]="","",IF(IF(Tasks[[#This Row],[_IsSummary]],COUNTIF(INDEX(Tasks[_LeafCritical],Tasks[[#This Row],[_Row]]+1):INDEX(Tasks[_LeafCritical],Tasks[[#This Row],[_Row]]+Tasks[[#This Row],[_Descendants]]),TRUE())&gt;0,Tasks[[#This Row],[_LeafCritical]]),"Yes",""))</f>
        <v/>
      </c>
      <c r="AJ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8" s="89"/>
      <c r="AM1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8" s="28" t="str">
        <f aca="false">IF(Tasks[[#This Row],[Task Name]]="","",IF(Tasks[[#This Row],[Progress]]&gt;=1,"Complete",IF(OR(N(Tasks[[#This Row],[Actual Start]])&gt;0,Tasks[[#This Row],[Progress]]&gt;0),IF(Tasks[[#This Row],[Finish Var]]&gt;0,"Behind","In Progress"),IF(Tasks[[#This Row],[Planned Start]]&lt;StatusDate,"Late Start","Not Started"))))</f>
        <v/>
      </c>
      <c r="AO188" s="30"/>
      <c r="AP188" s="89"/>
      <c r="AQ1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8" s="96" t="str">
        <f aca="false">IF(Tasks[[#This Row],[Task Name]]="","",IF(Tasks[[#This Row],[_IsSummary]],SUM(INDEX(Tasks[_LeafTotalWork],Tasks[[#This Row],[_Row]]+1):INDEX(Tasks[_LeafTotalWork],Tasks[[#This Row],[_Row]]+Tasks[[#This Row],[_Descendants]])),Tasks[[#This Row],[_LeafTotalWork]]))</f>
        <v/>
      </c>
      <c r="AT188" s="97" t="str">
        <f aca="false">IF(Tasks[[#This Row],[Task Name]]="","",IF(Tasks[[#This Row],[_IsSummary]],SUM(INDEX(Tasks[_LeafTotalCost],Tasks[[#This Row],[_Row]]+1):INDEX(Tasks[_LeafTotalCost],Tasks[[#This Row],[_Row]]+Tasks[[#This Row],[_Descendants]])),Tasks[[#This Row],[_LeafTotalCost]]))</f>
        <v/>
      </c>
      <c r="AU188" s="98"/>
      <c r="AV188" s="29"/>
      <c r="AW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8" s="83"/>
      <c r="AY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8" s="30"/>
      <c r="BA188" s="25" t="str">
        <f aca="false">IF(Tasks[[#This Row],[Task Name]]="","",Tasks[[#This Row],[Forecast Start]])</f>
        <v/>
      </c>
      <c r="BB188" s="25" t="str">
        <f aca="false">IF(Tasks[[#This Row],[Task Name]]="","",Tasks[[#This Row],[Forecast Finish]])</f>
        <v/>
      </c>
      <c r="BC188" s="28" t="str">
        <f aca="false">IF(Tasks[[#This Row],[Task Name]]="","",IF(Tasks[[#This Row],[_IsSummary]],NETWORKDAYS.INTL(Tasks[[#This Row],[Forecast Start]],Tasks[[#This Row],[Forecast Finish]],WorkWeek,Holidays),N(Tasks[[#This Row],[Duration]])))</f>
        <v/>
      </c>
      <c r="BD188" s="96" t="str">
        <f aca="false">IF(Tasks[[#This Row],[Task Name]]="","",Tasks[[#This Row],[Work]])</f>
        <v/>
      </c>
      <c r="BE188" s="97" t="str">
        <f aca="false">IF(Tasks[[#This Row],[Task Name]]="","",Tasks[[#This Row],[Cost]])</f>
        <v/>
      </c>
      <c r="BF188" s="75"/>
      <c r="BG188" s="75"/>
      <c r="BH188" s="29"/>
      <c r="BI188" s="99"/>
      <c r="BJ188" s="98"/>
      <c r="BK188" s="28" t="str">
        <f aca="false">IF(OR(Tasks[[#This Row],[Task Name]]="",Tasks[[#This Row],[Baseline Duration]]=""),"",Tasks[[#This Row],[BL Source Duration]]-N(Tasks[[#This Row],[Baseline Duration]]))</f>
        <v/>
      </c>
      <c r="BL188" s="96" t="str">
        <f aca="false">IF(OR(Tasks[[#This Row],[Task Name]]="",Tasks[[#This Row],[Baseline Work]]=""),"",Tasks[[#This Row],[Work]]-N(Tasks[[#This Row],[Baseline Work]]))</f>
        <v/>
      </c>
      <c r="BM188" s="97" t="str">
        <f aca="false">IF(OR(Tasks[[#This Row],[Task Name]]="",Tasks[[#This Row],[Baseline Cost]]=""),"",Tasks[[#This Row],[Cost]]-N(Tasks[[#This Row],[Baseline Cost]]))</f>
        <v/>
      </c>
      <c r="BN188" s="97" t="str">
        <f aca="false">IF(Tasks[[#This Row],[Task Name]]="","",IF(Tasks[[#This Row],[_IsSummary]],SUM(INDEX(Tasks[_LeafBudget],Tasks[[#This Row],[_Row]]+1):INDEX(Tasks[_LeafBudget],Tasks[[#This Row],[_Row]]+Tasks[[#This Row],[_Descendants]])),Tasks[[#This Row],[_LeafBudget]]))</f>
        <v/>
      </c>
      <c r="BO188" s="97" t="str">
        <f aca="false">IF(Tasks[[#This Row],[Task Name]]="","",IF(Tasks[[#This Row],[_IsSummary]],SUM(INDEX(Tasks[_LeafPV],Tasks[[#This Row],[_Row]]+1):INDEX(Tasks[_LeafPV],Tasks[[#This Row],[_Row]]+Tasks[[#This Row],[_Descendants]])),Tasks[[#This Row],[_LeafPV]]))</f>
        <v/>
      </c>
      <c r="BP188" s="97" t="str">
        <f aca="false">IF(Tasks[[#This Row],[Task Name]]="","",IF(Tasks[[#This Row],[_IsSummary]],SUM(INDEX(Tasks[_LeafEV],Tasks[[#This Row],[_Row]]+1):INDEX(Tasks[_LeafEV],Tasks[[#This Row],[_Row]]+Tasks[[#This Row],[_Descendants]])),Tasks[[#This Row],[_LeafEV]]))</f>
        <v/>
      </c>
      <c r="BQ188" s="97" t="str">
        <f aca="false">IF(Tasks[[#This Row],[Task Name]]="","",IF(Tasks[[#This Row],[_IsSummary]],SUM(INDEX(Tasks[_LeafAC],Tasks[[#This Row],[_Row]]+1):INDEX(Tasks[_LeafAC],Tasks[[#This Row],[_Row]]+Tasks[[#This Row],[_Descendants]])),Tasks[[#This Row],[_LeafAC]]))</f>
        <v/>
      </c>
      <c r="BR188" s="41" t="str">
        <f aca="false">IF(Tasks[[#This Row],[Task Name]]="","",MAX(1,N(Tasks[[#This Row],[Level]])))</f>
        <v/>
      </c>
      <c r="BS188" s="41" t="n">
        <f aca="false">ROW()-ROW(Tasks[[#Headers],[ID]])</f>
        <v>183</v>
      </c>
      <c r="BT188" s="41" t="n">
        <f aca="false">IF(OR(Tasks[[#This Row],[Task Name]]="",Tasks[[#This Row],[_Level]]&lt;=1),0,IFERROR(LOOKUP(2,1/(Tasks[[#Headers],[_Level]]:Tasks[[#This Row],[_Level]]=Tasks[[#This Row],[_Level]]-1),ROW(Tasks[[#Headers],[_Level]]:Tasks[[#This Row],[_Level]])),0))</f>
        <v>0</v>
      </c>
      <c r="BU188" s="41" t="n">
        <f aca="false">IFERROR(N(INDEX(Tasks[_Level],Tasks[[#This Row],[_Row]]+1)),0)</f>
        <v>0</v>
      </c>
      <c r="BV188" s="100" t="b">
        <f aca="false">AND(Tasks[[#This Row],[Task Name]]&lt;&gt;"",Tasks[[#This Row],[_NextLevel]]&gt;Tasks[[#This Row],[_Level]])</f>
        <v>0</v>
      </c>
      <c r="BW188" s="41" t="n">
        <f aca="false">IF(Tasks[[#This Row],[_IsSummary]],COUNTIF(Tasks[WBS],Tasks[[#This Row],[WBS]]&amp;".*"),0)</f>
        <v>0</v>
      </c>
      <c r="BX188" s="41" t="n">
        <f aca="false">IF(AND(Tasks[[#This Row],[Task Name]]&lt;&gt;"",NOT(Tasks[[#This Row],[_IsSummary]])),1,0)</f>
        <v>0</v>
      </c>
      <c r="BY188" s="41" t="n">
        <f aca="false">IF(N(Tasks[[#This Row],[Pred1 UID]])=0,0,IFERROR(MATCH(Tasks[[#This Row],[Pred1 UID]],Tasks[UID],0),-1))</f>
        <v>0</v>
      </c>
      <c r="BZ188" s="41" t="n">
        <f aca="false">IF(N(Tasks[[#This Row],[Pred2 UID]])=0,0,IFERROR(MATCH(Tasks[[#This Row],[Pred2 UID]],Tasks[UID],0),-1))</f>
        <v>0</v>
      </c>
      <c r="CA188" s="41" t="n">
        <f aca="false">IF(N(Tasks[[#This Row],[Pred3 UID]])=0,0,IFERROR(MATCH(Tasks[[#This Row],[Pred3 UID]],Tasks[UID],0),-1))</f>
        <v>0</v>
      </c>
      <c r="CB188" s="41" t="n">
        <f aca="false">IF(N(Tasks[[#This Row],[Pred4 UID]])=0,0,IFERROR(MATCH(Tasks[[#This Row],[Pred4 UID]],Tasks[UID],0),-1))</f>
        <v>0</v>
      </c>
      <c r="CC1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8" s="101" t="n">
        <f aca="false">IF(OR(Tasks[[#This Row],[_ConstraintCode]]=2,Tasks[[#This Row],[_ConstraintCode]]=3,Tasks[[#This Row],[_ConstraintCode]]=4,Tasks[[#This Row],[_ConstraintCode]]=6),Tasks[[#This Row],[_ConstraintStart]],0)</f>
        <v>0</v>
      </c>
      <c r="CF188" s="101" t="n">
        <f aca="false">IF(OR(Tasks[[#This Row],[_ConstraintCode]]=2,Tasks[[#This Row],[_ConstraintCode]]=3,Tasks[[#This Row],[_ConstraintCode]]=5,Tasks[[#This Row],[_ConstraintCode]]=7),Tasks[[#This Row],[_ConstraintStart]],2958465)</f>
        <v>2958465</v>
      </c>
      <c r="CG18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8" s="101" t="str">
        <f aca="false">IF(NOT(Tasks[[#This Row],[_IsLeaf]]=1),"",IF(N(Tasks[[#This Row],[Duration]])&lt;=0,Tasks[[#This Row],[_LeafCalcStart]],WORKDAY.INTL(Tasks[[#This Row],[_LeafCalcStart]],Tasks[[#This Row],[Duration]]-1,WorkWeek,Holidays)))</f>
        <v/>
      </c>
      <c r="CI18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8" s="41" t="n">
        <f aca="false">IF(NOT(Tasks[[#This Row],[_IsLeaf]]=1),0,IF(N(Tasks[[#This Row],[Actual Finish]])&gt;0,1,MIN(1,N(Tasks[[#This Row],[% Complete]]))))</f>
        <v>0</v>
      </c>
      <c r="CL188" s="41" t="n">
        <f aca="false">IF(OR(NOT(Tasks[[#This Row],[_IsLeaf]]=1),Tasks[[#This Row],[Resource]]=""),0,N(Tasks[[#This Row],[Duration]])*HoursPerDay*IF(Tasks[[#This Row],[Units]]="",DefaultUnits,Tasks[[#This Row],[Units]]))</f>
        <v>0</v>
      </c>
      <c r="CM188" s="41" t="n">
        <f aca="false">IF(Tasks[[#This Row],[_LeafWork]]=0,0,Tasks[[#This Row],[_LeafWork]]*IFERROR(INDEX(res_Rate,MATCH(Tasks[[#This Row],[Resource]],res_Name,0)),0))</f>
        <v>0</v>
      </c>
      <c r="CN188" s="41" t="n">
        <f aca="false">Tasks[[#This Row],[_LeafWork]]+IF(Tasks[[#This Row],[_IsLeaf]]=1,SUMIFS(asg_Work,asg_TaskUID,Tasks[[#This Row],[UID]],asg_Valid,1),0)</f>
        <v>0</v>
      </c>
      <c r="CO188" s="41" t="n">
        <f aca="false">Tasks[[#This Row],[_LeafCost]]+IF(Tasks[[#This Row],[_IsLeaf]]=1,SUMIFS(asg_Cost,asg_TaskUID,Tasks[[#This Row],[UID]],asg_Valid,1),0)</f>
        <v>0</v>
      </c>
      <c r="CP188" s="41" t="n">
        <f aca="false">IF(Tasks[[#This Row],[_LeafTotalCost]]=0,Tasks[[#This Row],[_LeafAC]],Tasks[[#This Row],[_LeafAC]]*Tasks[[#This Row],[_LeafCost]]/Tasks[[#This Row],[_LeafTotalCost]])</f>
        <v>0</v>
      </c>
      <c r="CQ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8" s="41" t="n">
        <f aca="false">IF(NOT(Tasks[[#This Row],[_IsLeaf]]=1),0,MAX(_xlfn.MAXIFS(Tasks[_Row],Tasks[Pred1 UID],Tasks[[#This Row],[UID]]),_xlfn.MAXIFS(Tasks[_Row],Tasks[Pred2 UID],Tasks[[#This Row],[UID]]),_xlfn.MAXIFS(Tasks[_Row],Tasks[Pred3 UID],Tasks[[#This Row],[UID]]),_xlfn.MAXIFS(Tasks[_Row],Tasks[Pred4 UID],Tasks[[#This Row],[UID]])))</f>
        <v>0</v>
      </c>
      <c r="CZ1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8" s="101" t="str">
        <f aca="false">IF(NOT(Tasks[[#This Row],[_IsLeaf]]=1),"",IF(N(Tasks[[#This Row],[Duration]])&lt;=0,Tasks[[#This Row],[_LeafLateFinish]],WORKDAY.INTL(Tasks[[#This Row],[_LeafLateFinish]],-(Tasks[[#This Row],[Duration]]-1),WorkWeek,Holidays)))</f>
        <v/>
      </c>
      <c r="DC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8" s="100" t="b">
        <f aca="false">AND(Tasks[[#This Row],[_IsLeaf]]=1,Tasks[[#This Row],[_LeafProgress]]&lt;1,N(Tasks[[#This Row],[_LeafTotalSlack]])&lt;=CriticalSlackDays)</f>
        <v>0</v>
      </c>
      <c r="DE188" s="41" t="n">
        <f aca="false">IF(AND(Tasks[[#This Row],[_IsLeaf]]=1,Tasks[[#This Row],[_ConstraintCode]]=1,Tasks[[#This Row],[Mode]]&lt;&gt;"Manual",N(Tasks[[#This Row],[Actual Start]])=0),MAX(0,N(Tasks[[#This Row],[Free Slack]])),0)</f>
        <v>0</v>
      </c>
      <c r="DF188" s="101" t="str">
        <f aca="false">IF(NOT(Tasks[[#This Row],[_IsLeaf]]=1),"",IF(Tasks[[#This Row],[_AlapShift]]=0,Tasks[[#This Row],[_LeafCalcStart]],WORKDAY.INTL(Tasks[[#This Row],[_LeafCalcStart]],Tasks[[#This Row],[_AlapShift]],WorkWeek,Holidays)))</f>
        <v/>
      </c>
      <c r="DG188" s="101" t="str">
        <f aca="false">IF(NOT(Tasks[[#This Row],[_IsLeaf]]=1),"",IF(Tasks[[#This Row],[_AlapShift]]=0,Tasks[[#This Row],[_LeafCalcFinish]],WORKDAY.INTL(Tasks[[#This Row],[_LeafCalcFinish]],Tasks[[#This Row],[_AlapShift]],WorkWeek,Holidays)))</f>
        <v/>
      </c>
      <c r="DH188" s="101" t="str">
        <f aca="false">IF(NOT(Tasks[[#This Row],[_IsLeaf]]=1),"",IF(Tasks[[#This Row],[_AlapShift]]=0,Tasks[[#This Row],[_LeafFcstStart]],WORKDAY.INTL(Tasks[[#This Row],[_LeafFcstStart]],Tasks[[#This Row],[_AlapShift]],WorkWeek,Holidays)))</f>
        <v/>
      </c>
      <c r="DI188" s="101" t="str">
        <f aca="false">IF(NOT(Tasks[[#This Row],[_IsLeaf]]=1),"",IF(Tasks[[#This Row],[_AlapShift]]=0,Tasks[[#This Row],[_LeafFcstFinish]],WORKDAY.INTL(Tasks[[#This Row],[_LeafFcstFinish]],Tasks[[#This Row],[_AlapShift]],WorkWeek,Holidays)))</f>
        <v/>
      </c>
      <c r="DJ188" s="101" t="str">
        <f aca="false">IF(Tasks[[#This Row],[Task Name]]="","",IF(Tasks[[#This Row],[_IsSummary]],MIN(INDEX(Tasks[_ShownCalcStart],Tasks[[#This Row],[_Row]]+1):INDEX(Tasks[_ShownCalcStart],Tasks[[#This Row],[_Row]]+Tasks[[#This Row],[_Descendants]])),Tasks[[#This Row],[_ShownCalcStart]]))</f>
        <v/>
      </c>
      <c r="DK188" s="101" t="str">
        <f aca="false">IF(Tasks[[#This Row],[Task Name]]="","",IF(Tasks[[#This Row],[_IsSummary]],MAX(INDEX(Tasks[_ShownCalcFinish],Tasks[[#This Row],[_Row]]+1):INDEX(Tasks[_ShownCalcFinish],Tasks[[#This Row],[_Row]]+Tasks[[#This Row],[_Descendants]])),Tasks[[#This Row],[_ShownCalcFinish]]))</f>
        <v/>
      </c>
      <c r="D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8" s="41" t="n">
        <f aca="false">IF(AND(Tasks[[#This Row],[_IsLeaf]]=1,Tasks[[#This Row],[_LeafTotalWork]]&gt;0),NETWORKDAYS.INTL(ProjectStart,Tasks[[#This Row],[_ShownFcstStart]],WorkWeek,Holidays),0)</f>
        <v>0</v>
      </c>
      <c r="DY188" s="41" t="n">
        <f aca="false">IF(AND(Tasks[[#This Row],[_IsLeaf]]=1,Tasks[[#This Row],[_LeafTotalWork]]&gt;0),MAX(Tasks[[#This Row],[_StartWorkday]],NETWORKDAYS.INTL(ProjectStart,Tasks[[#This Row],[_ShownFcstFinish]],WorkWeek,Holidays)),0)</f>
        <v>0</v>
      </c>
      <c r="DZ188" s="41" t="n">
        <f aca="false">IF(AND(Tasks[[#This Row],[_IsLeaf]]=1,Tasks[[#This Row],[_LeafTotalWork]]&gt;0),Tasks[[#This Row],[_LeafWork]]/(Tasks[[#This Row],[_FinishWorkday]]-Tasks[[#This Row],[_StartWorkday]]+1),0)</f>
        <v>0</v>
      </c>
      <c r="EA188" s="41" t="n">
        <f aca="false">Tasks[[#This Row],[_WorkPerWorkday]]*(Tasks[[#This Row],[_StartWorkday]]-1)</f>
        <v>-0</v>
      </c>
      <c r="EB188" s="41" t="n">
        <f aca="false">IF(Tasks[[#This Row],[_IsLeaf]]=1,MAX(N(Tasks[[#This Row],[Duration]]),0.1),0)</f>
        <v>0</v>
      </c>
      <c r="EC188" s="41" t="n">
        <f aca="false">Tasks[[#This Row],[_WeightDur]]*Tasks[[#This Row],[_LeafProgress]]</f>
        <v>0</v>
      </c>
      <c r="ED1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8" s="41" t="str">
        <f aca="false">IF(AND(Tasks[[#This Row],[_IsLeaf]]=1,N(Tasks[[#This Row],[Duration]])=0,Tasks[[#This Row],[_LeafProgress]]&lt;1),Tasks[[#This Row],[_ShownFcstFinish]]+Tasks[[#This Row],[_Row]]/100000,"")</f>
        <v/>
      </c>
      <c r="EF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8" s="41" t="n">
        <f aca="false">IF(NOT(Tasks[[#This Row],[_IsLeaf]]=1),0,IF(Tasks[[#This Row],[Baseline Cost]]="",Tasks[[#This Row],[_LeafTotalCost]],N(Tasks[[#This Row],[Baseline Cost]])))</f>
        <v>0</v>
      </c>
      <c r="EH188" s="41" t="n">
        <f aca="false">Tasks[[#This Row],[_LeafBudget]]*Tasks[[#This Row],[_PlannedPct]]</f>
        <v>0</v>
      </c>
      <c r="EI188" s="41" t="n">
        <f aca="false">Tasks[[#This Row],[_LeafBudget]]*Tasks[[#This Row],[_LeafProgress]]</f>
        <v>0</v>
      </c>
      <c r="EJ188" s="41" t="n">
        <f aca="false">IF(NOT(Tasks[[#This Row],[_IsLeaf]]=1),0,IF(Tasks[[#This Row],[Actual Cost]]="",Tasks[[#This Row],[_LeafTotalCost]]*Tasks[[#This Row],[_LeafProgress]],N(Tasks[[#This Row],[Actual Cost]])))</f>
        <v>0</v>
      </c>
      <c r="EK188" s="41" t="str">
        <f aca="false">IF(Tasks[[#This Row],[Task Name]]="","",LEFT(Tasks[[#This Row],[WBS]],FIND(".",Tasks[[#This Row],[WBS]]&amp;".")-1))</f>
        <v/>
      </c>
      <c r="EL188" s="41" t="str">
        <f aca="false">IF(AND(Tasks[[#This Row],[Task Name]]&lt;&gt;"",Tasks[[#This Row],[_Level]]=1),Tasks[[#This Row],[_Row]],"")</f>
        <v/>
      </c>
      <c r="EM188" s="41" t="str">
        <f aca="false">IF(AND(Tasks[[#This Row],[_IsLeaf]]=1,N(Tasks[[#This Row],[Duration]])=0),Tasks[[#This Row],[Planned Finish]]+Tasks[[#This Row],[_Row]]/100000,"")</f>
        <v/>
      </c>
      <c r="EN188" s="41" t="str">
        <f aca="false">IF(AND(Tasks[[#This Row],[_IsLeaf]]=1,Tasks[[#This Row],[_LeafProgress]]&lt;1,OR(N(Tasks[[#This Row],[Finish Var]])&gt;0,Tasks[[#This Row],[Status]]="Late Start")),MAX(0,Tasks[[#This Row],[Finish Var]])+1-Tasks[[#This Row],[_Row]]/1000000,"")</f>
        <v/>
      </c>
      <c r="EO188" s="41" t="str">
        <f aca="false">IF(AND(Tasks[[#This Row],[_IsLeaf]]=1,N(Tasks[[#This Row],[Actual Start]])=0,Tasks[[#This Row],[_ShownFcstStart]]&gt;=StatusDate,Tasks[[#This Row],[_ShownFcstStart]]&lt;=LookaheadEnd),Tasks[[#This Row],[_ShownFcstStart]]+Tasks[[#This Row],[_Row]]/100000,"")</f>
        <v/>
      </c>
      <c r="EP188" s="41" t="str">
        <f aca="false">IF(AND(Tasks[[#This Row],[_IsLeaf]]=1,Tasks[[#This Row],[_LeafProgress]]&lt;1,Tasks[[#This Row],[_ShownFcstFinish]]&gt;=StatusDate,Tasks[[#This Row],[_ShownFcstFinish]]&lt;=LookaheadEnd),Tasks[[#This Row],[_ShownFcstFinish]]+Tasks[[#This Row],[_Row]]/100000,"")</f>
        <v/>
      </c>
      <c r="EQ188" s="41" t="str">
        <f aca="false">IF(Tasks[[#This Row],[_LeafCritical]],Tasks[[#This Row],[_ShownFcstStart]]+Tasks[[#This Row],[_Row]]/100000,"")</f>
        <v/>
      </c>
      <c r="ER188" s="41" t="n">
        <f aca="false">Tasks[[#This Row],[_LeafWork]]*Tasks[[#This Row],[_LeafProgress]]</f>
        <v>0</v>
      </c>
      <c r="ES188" s="101" t="str">
        <f aca="false">IF(AND(Tasks[[#This Row],[_IsLeaf]]=1,Tasks[[#This Row],[_LeafProgress]]&gt;=1),IF(N(Tasks[[#This Row],[Actual Finish]])&gt;0,Tasks[[#This Row],[Actual Finish]],Tasks[[#This Row],[_ShownFcstFinish]]),"")</f>
        <v/>
      </c>
      <c r="ET188" s="41" t="n">
        <f aca="false">IF(Tasks[[#This Row],[_IsLeaf]]=1,N(Tasks[[#This Row],[Story Points]]),0)</f>
        <v>0</v>
      </c>
      <c r="EU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29"/>
      <c r="O189" s="29"/>
      <c r="P189" s="29"/>
      <c r="Q189" s="29"/>
      <c r="R189" s="29"/>
      <c r="S189" s="29"/>
      <c r="T189" s="30"/>
      <c r="U189" s="75"/>
      <c r="V189" s="75"/>
      <c r="W189" s="25" t="str">
        <f aca="false">IF(Tasks[[#This Row],[Task Name]]="","",IF(N(Tasks[[#This Row],[Baseline Start]])&gt;0,Tasks[[#This Row],[Baseline Start]],Tasks[[#This Row],[_CalcStart]]))</f>
        <v/>
      </c>
      <c r="X189" s="25" t="str">
        <f aca="false">IF(Tasks[[#This Row],[Task Name]]="","",IF(N(Tasks[[#This Row],[Baseline Finish]])&gt;0,Tasks[[#This Row],[Baseline Finish]],Tasks[[#This Row],[_CalcFinish]]))</f>
        <v/>
      </c>
      <c r="Y189" s="75"/>
      <c r="Z189" s="75"/>
      <c r="AA189" s="25" t="str">
        <f aca="false">IF(Tasks[[#This Row],[Task Name]]="","",IF(Tasks[[#This Row],[_IsSummary]],MIN(INDEX(Tasks[_ShownFcstStart],Tasks[[#This Row],[_Row]]+1):INDEX(Tasks[_ShownFcstStart],Tasks[[#This Row],[_Row]]+Tasks[[#This Row],[_Descendants]])),Tasks[[#This Row],[_ShownFcstStart]]))</f>
        <v/>
      </c>
      <c r="AB189" s="25" t="str">
        <f aca="false">IF(Tasks[[#This Row],[Task Name]]="","",IF(Tasks[[#This Row],[_IsSummary]],MAX(INDEX(Tasks[_ShownFcstFinish],Tasks[[#This Row],[_Row]]+1):INDEX(Tasks[_ShownFcstFinish],Tasks[[#This Row],[_Row]]+Tasks[[#This Row],[_Descendants]])),Tasks[[#This Row],[_ShownFcstFinish]]))</f>
        <v/>
      </c>
      <c r="AC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9" s="25" t="str">
        <f aca="false">IF(Tasks[[#This Row],[Task Name]]="","",IF(Tasks[[#This Row],[_IsSummary]],MIN(INDEX(Tasks[_LeafLateStart],Tasks[[#This Row],[_Row]]+1):INDEX(Tasks[_LeafLateStart],Tasks[[#This Row],[_Row]]+Tasks[[#This Row],[_Descendants]])),Tasks[[#This Row],[_LeafLateStart]]))</f>
        <v/>
      </c>
      <c r="AF189" s="25" t="str">
        <f aca="false">IF(Tasks[[#This Row],[Task Name]]="","",IF(Tasks[[#This Row],[_IsSummary]],MAX(INDEX(Tasks[_LeafLateFinish],Tasks[[#This Row],[_Row]]+1):INDEX(Tasks[_LeafLateFinish],Tasks[[#This Row],[_Row]]+Tasks[[#This Row],[_Descendants]])),Tasks[[#This Row],[_LeafLateFinish]]))</f>
        <v/>
      </c>
      <c r="AG189" s="28" t="str">
        <f aca="false">IF(Tasks[[#This Row],[Task Name]]="","",IF(Tasks[[#This Row],[_IsSummary]],MIN(INDEX(Tasks[_LeafTotalSlack],Tasks[[#This Row],[_Row]]+1):INDEX(Tasks[_LeafTotalSlack],Tasks[[#This Row],[_Row]]+Tasks[[#This Row],[_Descendants]])),Tasks[[#This Row],[_LeafTotalSlack]]))</f>
        <v/>
      </c>
      <c r="AH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9" s="28" t="str">
        <f aca="false">IF(Tasks[[#This Row],[Task Name]]="","",IF(IF(Tasks[[#This Row],[_IsSummary]],COUNTIF(INDEX(Tasks[_LeafCritical],Tasks[[#This Row],[_Row]]+1):INDEX(Tasks[_LeafCritical],Tasks[[#This Row],[_Row]]+Tasks[[#This Row],[_Descendants]]),TRUE())&gt;0,Tasks[[#This Row],[_LeafCritical]]),"Yes",""))</f>
        <v/>
      </c>
      <c r="AJ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9" s="89"/>
      <c r="AM1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9" s="28" t="str">
        <f aca="false">IF(Tasks[[#This Row],[Task Name]]="","",IF(Tasks[[#This Row],[Progress]]&gt;=1,"Complete",IF(OR(N(Tasks[[#This Row],[Actual Start]])&gt;0,Tasks[[#This Row],[Progress]]&gt;0),IF(Tasks[[#This Row],[Finish Var]]&gt;0,"Behind","In Progress"),IF(Tasks[[#This Row],[Planned Start]]&lt;StatusDate,"Late Start","Not Started"))))</f>
        <v/>
      </c>
      <c r="AO189" s="30"/>
      <c r="AP189" s="89"/>
      <c r="AQ1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9" s="96" t="str">
        <f aca="false">IF(Tasks[[#This Row],[Task Name]]="","",IF(Tasks[[#This Row],[_IsSummary]],SUM(INDEX(Tasks[_LeafTotalWork],Tasks[[#This Row],[_Row]]+1):INDEX(Tasks[_LeafTotalWork],Tasks[[#This Row],[_Row]]+Tasks[[#This Row],[_Descendants]])),Tasks[[#This Row],[_LeafTotalWork]]))</f>
        <v/>
      </c>
      <c r="AT189" s="97" t="str">
        <f aca="false">IF(Tasks[[#This Row],[Task Name]]="","",IF(Tasks[[#This Row],[_IsSummary]],SUM(INDEX(Tasks[_LeafTotalCost],Tasks[[#This Row],[_Row]]+1):INDEX(Tasks[_LeafTotalCost],Tasks[[#This Row],[_Row]]+Tasks[[#This Row],[_Descendants]])),Tasks[[#This Row],[_LeafTotalCost]]))</f>
        <v/>
      </c>
      <c r="AU189" s="98"/>
      <c r="AV189" s="29"/>
      <c r="AW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9" s="83"/>
      <c r="AY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9" s="30"/>
      <c r="BA189" s="25" t="str">
        <f aca="false">IF(Tasks[[#This Row],[Task Name]]="","",Tasks[[#This Row],[Forecast Start]])</f>
        <v/>
      </c>
      <c r="BB189" s="25" t="str">
        <f aca="false">IF(Tasks[[#This Row],[Task Name]]="","",Tasks[[#This Row],[Forecast Finish]])</f>
        <v/>
      </c>
      <c r="BC189" s="28" t="str">
        <f aca="false">IF(Tasks[[#This Row],[Task Name]]="","",IF(Tasks[[#This Row],[_IsSummary]],NETWORKDAYS.INTL(Tasks[[#This Row],[Forecast Start]],Tasks[[#This Row],[Forecast Finish]],WorkWeek,Holidays),N(Tasks[[#This Row],[Duration]])))</f>
        <v/>
      </c>
      <c r="BD189" s="96" t="str">
        <f aca="false">IF(Tasks[[#This Row],[Task Name]]="","",Tasks[[#This Row],[Work]])</f>
        <v/>
      </c>
      <c r="BE189" s="97" t="str">
        <f aca="false">IF(Tasks[[#This Row],[Task Name]]="","",Tasks[[#This Row],[Cost]])</f>
        <v/>
      </c>
      <c r="BF189" s="75"/>
      <c r="BG189" s="75"/>
      <c r="BH189" s="29"/>
      <c r="BI189" s="99"/>
      <c r="BJ189" s="98"/>
      <c r="BK189" s="28" t="str">
        <f aca="false">IF(OR(Tasks[[#This Row],[Task Name]]="",Tasks[[#This Row],[Baseline Duration]]=""),"",Tasks[[#This Row],[BL Source Duration]]-N(Tasks[[#This Row],[Baseline Duration]]))</f>
        <v/>
      </c>
      <c r="BL189" s="96" t="str">
        <f aca="false">IF(OR(Tasks[[#This Row],[Task Name]]="",Tasks[[#This Row],[Baseline Work]]=""),"",Tasks[[#This Row],[Work]]-N(Tasks[[#This Row],[Baseline Work]]))</f>
        <v/>
      </c>
      <c r="BM189" s="97" t="str">
        <f aca="false">IF(OR(Tasks[[#This Row],[Task Name]]="",Tasks[[#This Row],[Baseline Cost]]=""),"",Tasks[[#This Row],[Cost]]-N(Tasks[[#This Row],[Baseline Cost]]))</f>
        <v/>
      </c>
      <c r="BN189" s="97" t="str">
        <f aca="false">IF(Tasks[[#This Row],[Task Name]]="","",IF(Tasks[[#This Row],[_IsSummary]],SUM(INDEX(Tasks[_LeafBudget],Tasks[[#This Row],[_Row]]+1):INDEX(Tasks[_LeafBudget],Tasks[[#This Row],[_Row]]+Tasks[[#This Row],[_Descendants]])),Tasks[[#This Row],[_LeafBudget]]))</f>
        <v/>
      </c>
      <c r="BO189" s="97" t="str">
        <f aca="false">IF(Tasks[[#This Row],[Task Name]]="","",IF(Tasks[[#This Row],[_IsSummary]],SUM(INDEX(Tasks[_LeafPV],Tasks[[#This Row],[_Row]]+1):INDEX(Tasks[_LeafPV],Tasks[[#This Row],[_Row]]+Tasks[[#This Row],[_Descendants]])),Tasks[[#This Row],[_LeafPV]]))</f>
        <v/>
      </c>
      <c r="BP189" s="97" t="str">
        <f aca="false">IF(Tasks[[#This Row],[Task Name]]="","",IF(Tasks[[#This Row],[_IsSummary]],SUM(INDEX(Tasks[_LeafEV],Tasks[[#This Row],[_Row]]+1):INDEX(Tasks[_LeafEV],Tasks[[#This Row],[_Row]]+Tasks[[#This Row],[_Descendants]])),Tasks[[#This Row],[_LeafEV]]))</f>
        <v/>
      </c>
      <c r="BQ189" s="97" t="str">
        <f aca="false">IF(Tasks[[#This Row],[Task Name]]="","",IF(Tasks[[#This Row],[_IsSummary]],SUM(INDEX(Tasks[_LeafAC],Tasks[[#This Row],[_Row]]+1):INDEX(Tasks[_LeafAC],Tasks[[#This Row],[_Row]]+Tasks[[#This Row],[_Descendants]])),Tasks[[#This Row],[_LeafAC]]))</f>
        <v/>
      </c>
      <c r="BR189" s="41" t="str">
        <f aca="false">IF(Tasks[[#This Row],[Task Name]]="","",MAX(1,N(Tasks[[#This Row],[Level]])))</f>
        <v/>
      </c>
      <c r="BS189" s="41" t="n">
        <f aca="false">ROW()-ROW(Tasks[[#Headers],[ID]])</f>
        <v>184</v>
      </c>
      <c r="BT189" s="41" t="n">
        <f aca="false">IF(OR(Tasks[[#This Row],[Task Name]]="",Tasks[[#This Row],[_Level]]&lt;=1),0,IFERROR(LOOKUP(2,1/(Tasks[[#Headers],[_Level]]:Tasks[[#This Row],[_Level]]=Tasks[[#This Row],[_Level]]-1),ROW(Tasks[[#Headers],[_Level]]:Tasks[[#This Row],[_Level]])),0))</f>
        <v>0</v>
      </c>
      <c r="BU189" s="41" t="n">
        <f aca="false">IFERROR(N(INDEX(Tasks[_Level],Tasks[[#This Row],[_Row]]+1)),0)</f>
        <v>0</v>
      </c>
      <c r="BV189" s="100" t="b">
        <f aca="false">AND(Tasks[[#This Row],[Task Name]]&lt;&gt;"",Tasks[[#This Row],[_NextLevel]]&gt;Tasks[[#This Row],[_Level]])</f>
        <v>0</v>
      </c>
      <c r="BW189" s="41" t="n">
        <f aca="false">IF(Tasks[[#This Row],[_IsSummary]],COUNTIF(Tasks[WBS],Tasks[[#This Row],[WBS]]&amp;".*"),0)</f>
        <v>0</v>
      </c>
      <c r="BX189" s="41" t="n">
        <f aca="false">IF(AND(Tasks[[#This Row],[Task Name]]&lt;&gt;"",NOT(Tasks[[#This Row],[_IsSummary]])),1,0)</f>
        <v>0</v>
      </c>
      <c r="BY189" s="41" t="n">
        <f aca="false">IF(N(Tasks[[#This Row],[Pred1 UID]])=0,0,IFERROR(MATCH(Tasks[[#This Row],[Pred1 UID]],Tasks[UID],0),-1))</f>
        <v>0</v>
      </c>
      <c r="BZ189" s="41" t="n">
        <f aca="false">IF(N(Tasks[[#This Row],[Pred2 UID]])=0,0,IFERROR(MATCH(Tasks[[#This Row],[Pred2 UID]],Tasks[UID],0),-1))</f>
        <v>0</v>
      </c>
      <c r="CA189" s="41" t="n">
        <f aca="false">IF(N(Tasks[[#This Row],[Pred3 UID]])=0,0,IFERROR(MATCH(Tasks[[#This Row],[Pred3 UID]],Tasks[UID],0),-1))</f>
        <v>0</v>
      </c>
      <c r="CB189" s="41" t="n">
        <f aca="false">IF(N(Tasks[[#This Row],[Pred4 UID]])=0,0,IFERROR(MATCH(Tasks[[#This Row],[Pred4 UID]],Tasks[UID],0),-1))</f>
        <v>0</v>
      </c>
      <c r="CC1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9" s="101" t="n">
        <f aca="false">IF(OR(Tasks[[#This Row],[_ConstraintCode]]=2,Tasks[[#This Row],[_ConstraintCode]]=3,Tasks[[#This Row],[_ConstraintCode]]=4,Tasks[[#This Row],[_ConstraintCode]]=6),Tasks[[#This Row],[_ConstraintStart]],0)</f>
        <v>0</v>
      </c>
      <c r="CF189" s="101" t="n">
        <f aca="false">IF(OR(Tasks[[#This Row],[_ConstraintCode]]=2,Tasks[[#This Row],[_ConstraintCode]]=3,Tasks[[#This Row],[_ConstraintCode]]=5,Tasks[[#This Row],[_ConstraintCode]]=7),Tasks[[#This Row],[_ConstraintStart]],2958465)</f>
        <v>2958465</v>
      </c>
      <c r="CG18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9" s="101" t="str">
        <f aca="false">IF(NOT(Tasks[[#This Row],[_IsLeaf]]=1),"",IF(N(Tasks[[#This Row],[Duration]])&lt;=0,Tasks[[#This Row],[_LeafCalcStart]],WORKDAY.INTL(Tasks[[#This Row],[_LeafCalcStart]],Tasks[[#This Row],[Duration]]-1,WorkWeek,Holidays)))</f>
        <v/>
      </c>
      <c r="CI18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9" s="41" t="n">
        <f aca="false">IF(NOT(Tasks[[#This Row],[_IsLeaf]]=1),0,IF(N(Tasks[[#This Row],[Actual Finish]])&gt;0,1,MIN(1,N(Tasks[[#This Row],[% Complete]]))))</f>
        <v>0</v>
      </c>
      <c r="CL189" s="41" t="n">
        <f aca="false">IF(OR(NOT(Tasks[[#This Row],[_IsLeaf]]=1),Tasks[[#This Row],[Resource]]=""),0,N(Tasks[[#This Row],[Duration]])*HoursPerDay*IF(Tasks[[#This Row],[Units]]="",DefaultUnits,Tasks[[#This Row],[Units]]))</f>
        <v>0</v>
      </c>
      <c r="CM189" s="41" t="n">
        <f aca="false">IF(Tasks[[#This Row],[_LeafWork]]=0,0,Tasks[[#This Row],[_LeafWork]]*IFERROR(INDEX(res_Rate,MATCH(Tasks[[#This Row],[Resource]],res_Name,0)),0))</f>
        <v>0</v>
      </c>
      <c r="CN189" s="41" t="n">
        <f aca="false">Tasks[[#This Row],[_LeafWork]]+IF(Tasks[[#This Row],[_IsLeaf]]=1,SUMIFS(asg_Work,asg_TaskUID,Tasks[[#This Row],[UID]],asg_Valid,1),0)</f>
        <v>0</v>
      </c>
      <c r="CO189" s="41" t="n">
        <f aca="false">Tasks[[#This Row],[_LeafCost]]+IF(Tasks[[#This Row],[_IsLeaf]]=1,SUMIFS(asg_Cost,asg_TaskUID,Tasks[[#This Row],[UID]],asg_Valid,1),0)</f>
        <v>0</v>
      </c>
      <c r="CP189" s="41" t="n">
        <f aca="false">IF(Tasks[[#This Row],[_LeafTotalCost]]=0,Tasks[[#This Row],[_LeafAC]],Tasks[[#This Row],[_LeafAC]]*Tasks[[#This Row],[_LeafCost]]/Tasks[[#This Row],[_LeafTotalCost]])</f>
        <v>0</v>
      </c>
      <c r="CQ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9" s="41" t="n">
        <f aca="false">IF(NOT(Tasks[[#This Row],[_IsLeaf]]=1),0,MAX(_xlfn.MAXIFS(Tasks[_Row],Tasks[Pred1 UID],Tasks[[#This Row],[UID]]),_xlfn.MAXIFS(Tasks[_Row],Tasks[Pred2 UID],Tasks[[#This Row],[UID]]),_xlfn.MAXIFS(Tasks[_Row],Tasks[Pred3 UID],Tasks[[#This Row],[UID]]),_xlfn.MAXIFS(Tasks[_Row],Tasks[Pred4 UID],Tasks[[#This Row],[UID]])))</f>
        <v>0</v>
      </c>
      <c r="CZ1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9" s="101" t="str">
        <f aca="false">IF(NOT(Tasks[[#This Row],[_IsLeaf]]=1),"",IF(N(Tasks[[#This Row],[Duration]])&lt;=0,Tasks[[#This Row],[_LeafLateFinish]],WORKDAY.INTL(Tasks[[#This Row],[_LeafLateFinish]],-(Tasks[[#This Row],[Duration]]-1),WorkWeek,Holidays)))</f>
        <v/>
      </c>
      <c r="DC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9" s="100" t="b">
        <f aca="false">AND(Tasks[[#This Row],[_IsLeaf]]=1,Tasks[[#This Row],[_LeafProgress]]&lt;1,N(Tasks[[#This Row],[_LeafTotalSlack]])&lt;=CriticalSlackDays)</f>
        <v>0</v>
      </c>
      <c r="DE189" s="41" t="n">
        <f aca="false">IF(AND(Tasks[[#This Row],[_IsLeaf]]=1,Tasks[[#This Row],[_ConstraintCode]]=1,Tasks[[#This Row],[Mode]]&lt;&gt;"Manual",N(Tasks[[#This Row],[Actual Start]])=0),MAX(0,N(Tasks[[#This Row],[Free Slack]])),0)</f>
        <v>0</v>
      </c>
      <c r="DF189" s="101" t="str">
        <f aca="false">IF(NOT(Tasks[[#This Row],[_IsLeaf]]=1),"",IF(Tasks[[#This Row],[_AlapShift]]=0,Tasks[[#This Row],[_LeafCalcStart]],WORKDAY.INTL(Tasks[[#This Row],[_LeafCalcStart]],Tasks[[#This Row],[_AlapShift]],WorkWeek,Holidays)))</f>
        <v/>
      </c>
      <c r="DG189" s="101" t="str">
        <f aca="false">IF(NOT(Tasks[[#This Row],[_IsLeaf]]=1),"",IF(Tasks[[#This Row],[_AlapShift]]=0,Tasks[[#This Row],[_LeafCalcFinish]],WORKDAY.INTL(Tasks[[#This Row],[_LeafCalcFinish]],Tasks[[#This Row],[_AlapShift]],WorkWeek,Holidays)))</f>
        <v/>
      </c>
      <c r="DH189" s="101" t="str">
        <f aca="false">IF(NOT(Tasks[[#This Row],[_IsLeaf]]=1),"",IF(Tasks[[#This Row],[_AlapShift]]=0,Tasks[[#This Row],[_LeafFcstStart]],WORKDAY.INTL(Tasks[[#This Row],[_LeafFcstStart]],Tasks[[#This Row],[_AlapShift]],WorkWeek,Holidays)))</f>
        <v/>
      </c>
      <c r="DI189" s="101" t="str">
        <f aca="false">IF(NOT(Tasks[[#This Row],[_IsLeaf]]=1),"",IF(Tasks[[#This Row],[_AlapShift]]=0,Tasks[[#This Row],[_LeafFcstFinish]],WORKDAY.INTL(Tasks[[#This Row],[_LeafFcstFinish]],Tasks[[#This Row],[_AlapShift]],WorkWeek,Holidays)))</f>
        <v/>
      </c>
      <c r="DJ189" s="101" t="str">
        <f aca="false">IF(Tasks[[#This Row],[Task Name]]="","",IF(Tasks[[#This Row],[_IsSummary]],MIN(INDEX(Tasks[_ShownCalcStart],Tasks[[#This Row],[_Row]]+1):INDEX(Tasks[_ShownCalcStart],Tasks[[#This Row],[_Row]]+Tasks[[#This Row],[_Descendants]])),Tasks[[#This Row],[_ShownCalcStart]]))</f>
        <v/>
      </c>
      <c r="DK189" s="101" t="str">
        <f aca="false">IF(Tasks[[#This Row],[Task Name]]="","",IF(Tasks[[#This Row],[_IsSummary]],MAX(INDEX(Tasks[_ShownCalcFinish],Tasks[[#This Row],[_Row]]+1):INDEX(Tasks[_ShownCalcFinish],Tasks[[#This Row],[_Row]]+Tasks[[#This Row],[_Descendants]])),Tasks[[#This Row],[_ShownCalcFinish]]))</f>
        <v/>
      </c>
      <c r="D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9" s="41" t="n">
        <f aca="false">IF(AND(Tasks[[#This Row],[_IsLeaf]]=1,Tasks[[#This Row],[_LeafTotalWork]]&gt;0),NETWORKDAYS.INTL(ProjectStart,Tasks[[#This Row],[_ShownFcstStart]],WorkWeek,Holidays),0)</f>
        <v>0</v>
      </c>
      <c r="DY189" s="41" t="n">
        <f aca="false">IF(AND(Tasks[[#This Row],[_IsLeaf]]=1,Tasks[[#This Row],[_LeafTotalWork]]&gt;0),MAX(Tasks[[#This Row],[_StartWorkday]],NETWORKDAYS.INTL(ProjectStart,Tasks[[#This Row],[_ShownFcstFinish]],WorkWeek,Holidays)),0)</f>
        <v>0</v>
      </c>
      <c r="DZ189" s="41" t="n">
        <f aca="false">IF(AND(Tasks[[#This Row],[_IsLeaf]]=1,Tasks[[#This Row],[_LeafTotalWork]]&gt;0),Tasks[[#This Row],[_LeafWork]]/(Tasks[[#This Row],[_FinishWorkday]]-Tasks[[#This Row],[_StartWorkday]]+1),0)</f>
        <v>0</v>
      </c>
      <c r="EA189" s="41" t="n">
        <f aca="false">Tasks[[#This Row],[_WorkPerWorkday]]*(Tasks[[#This Row],[_StartWorkday]]-1)</f>
        <v>-0</v>
      </c>
      <c r="EB189" s="41" t="n">
        <f aca="false">IF(Tasks[[#This Row],[_IsLeaf]]=1,MAX(N(Tasks[[#This Row],[Duration]]),0.1),0)</f>
        <v>0</v>
      </c>
      <c r="EC189" s="41" t="n">
        <f aca="false">Tasks[[#This Row],[_WeightDur]]*Tasks[[#This Row],[_LeafProgress]]</f>
        <v>0</v>
      </c>
      <c r="ED1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9" s="41" t="str">
        <f aca="false">IF(AND(Tasks[[#This Row],[_IsLeaf]]=1,N(Tasks[[#This Row],[Duration]])=0,Tasks[[#This Row],[_LeafProgress]]&lt;1),Tasks[[#This Row],[_ShownFcstFinish]]+Tasks[[#This Row],[_Row]]/100000,"")</f>
        <v/>
      </c>
      <c r="EF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9" s="41" t="n">
        <f aca="false">IF(NOT(Tasks[[#This Row],[_IsLeaf]]=1),0,IF(Tasks[[#This Row],[Baseline Cost]]="",Tasks[[#This Row],[_LeafTotalCost]],N(Tasks[[#This Row],[Baseline Cost]])))</f>
        <v>0</v>
      </c>
      <c r="EH189" s="41" t="n">
        <f aca="false">Tasks[[#This Row],[_LeafBudget]]*Tasks[[#This Row],[_PlannedPct]]</f>
        <v>0</v>
      </c>
      <c r="EI189" s="41" t="n">
        <f aca="false">Tasks[[#This Row],[_LeafBudget]]*Tasks[[#This Row],[_LeafProgress]]</f>
        <v>0</v>
      </c>
      <c r="EJ189" s="41" t="n">
        <f aca="false">IF(NOT(Tasks[[#This Row],[_IsLeaf]]=1),0,IF(Tasks[[#This Row],[Actual Cost]]="",Tasks[[#This Row],[_LeafTotalCost]]*Tasks[[#This Row],[_LeafProgress]],N(Tasks[[#This Row],[Actual Cost]])))</f>
        <v>0</v>
      </c>
      <c r="EK189" s="41" t="str">
        <f aca="false">IF(Tasks[[#This Row],[Task Name]]="","",LEFT(Tasks[[#This Row],[WBS]],FIND(".",Tasks[[#This Row],[WBS]]&amp;".")-1))</f>
        <v/>
      </c>
      <c r="EL189" s="41" t="str">
        <f aca="false">IF(AND(Tasks[[#This Row],[Task Name]]&lt;&gt;"",Tasks[[#This Row],[_Level]]=1),Tasks[[#This Row],[_Row]],"")</f>
        <v/>
      </c>
      <c r="EM189" s="41" t="str">
        <f aca="false">IF(AND(Tasks[[#This Row],[_IsLeaf]]=1,N(Tasks[[#This Row],[Duration]])=0),Tasks[[#This Row],[Planned Finish]]+Tasks[[#This Row],[_Row]]/100000,"")</f>
        <v/>
      </c>
      <c r="EN189" s="41" t="str">
        <f aca="false">IF(AND(Tasks[[#This Row],[_IsLeaf]]=1,Tasks[[#This Row],[_LeafProgress]]&lt;1,OR(N(Tasks[[#This Row],[Finish Var]])&gt;0,Tasks[[#This Row],[Status]]="Late Start")),MAX(0,Tasks[[#This Row],[Finish Var]])+1-Tasks[[#This Row],[_Row]]/1000000,"")</f>
        <v/>
      </c>
      <c r="EO189" s="41" t="str">
        <f aca="false">IF(AND(Tasks[[#This Row],[_IsLeaf]]=1,N(Tasks[[#This Row],[Actual Start]])=0,Tasks[[#This Row],[_ShownFcstStart]]&gt;=StatusDate,Tasks[[#This Row],[_ShownFcstStart]]&lt;=LookaheadEnd),Tasks[[#This Row],[_ShownFcstStart]]+Tasks[[#This Row],[_Row]]/100000,"")</f>
        <v/>
      </c>
      <c r="EP189" s="41" t="str">
        <f aca="false">IF(AND(Tasks[[#This Row],[_IsLeaf]]=1,Tasks[[#This Row],[_LeafProgress]]&lt;1,Tasks[[#This Row],[_ShownFcstFinish]]&gt;=StatusDate,Tasks[[#This Row],[_ShownFcstFinish]]&lt;=LookaheadEnd),Tasks[[#This Row],[_ShownFcstFinish]]+Tasks[[#This Row],[_Row]]/100000,"")</f>
        <v/>
      </c>
      <c r="EQ189" s="41" t="str">
        <f aca="false">IF(Tasks[[#This Row],[_LeafCritical]],Tasks[[#This Row],[_ShownFcstStart]]+Tasks[[#This Row],[_Row]]/100000,"")</f>
        <v/>
      </c>
      <c r="ER189" s="41" t="n">
        <f aca="false">Tasks[[#This Row],[_LeafWork]]*Tasks[[#This Row],[_LeafProgress]]</f>
        <v>0</v>
      </c>
      <c r="ES189" s="101" t="str">
        <f aca="false">IF(AND(Tasks[[#This Row],[_IsLeaf]]=1,Tasks[[#This Row],[_LeafProgress]]&gt;=1),IF(N(Tasks[[#This Row],[Actual Finish]])&gt;0,Tasks[[#This Row],[Actual Finish]],Tasks[[#This Row],[_ShownFcstFinish]]),"")</f>
        <v/>
      </c>
      <c r="ET189" s="41" t="n">
        <f aca="false">IF(Tasks[[#This Row],[_IsLeaf]]=1,N(Tasks[[#This Row],[Story Points]]),0)</f>
        <v>0</v>
      </c>
      <c r="EU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29"/>
      <c r="O190" s="29"/>
      <c r="P190" s="29"/>
      <c r="Q190" s="29"/>
      <c r="R190" s="29"/>
      <c r="S190" s="29"/>
      <c r="T190" s="30"/>
      <c r="U190" s="75"/>
      <c r="V190" s="75"/>
      <c r="W190" s="25" t="str">
        <f aca="false">IF(Tasks[[#This Row],[Task Name]]="","",IF(N(Tasks[[#This Row],[Baseline Start]])&gt;0,Tasks[[#This Row],[Baseline Start]],Tasks[[#This Row],[_CalcStart]]))</f>
        <v/>
      </c>
      <c r="X190" s="25" t="str">
        <f aca="false">IF(Tasks[[#This Row],[Task Name]]="","",IF(N(Tasks[[#This Row],[Baseline Finish]])&gt;0,Tasks[[#This Row],[Baseline Finish]],Tasks[[#This Row],[_CalcFinish]]))</f>
        <v/>
      </c>
      <c r="Y190" s="75"/>
      <c r="Z190" s="75"/>
      <c r="AA190" s="25" t="str">
        <f aca="false">IF(Tasks[[#This Row],[Task Name]]="","",IF(Tasks[[#This Row],[_IsSummary]],MIN(INDEX(Tasks[_ShownFcstStart],Tasks[[#This Row],[_Row]]+1):INDEX(Tasks[_ShownFcstStart],Tasks[[#This Row],[_Row]]+Tasks[[#This Row],[_Descendants]])),Tasks[[#This Row],[_ShownFcstStart]]))</f>
        <v/>
      </c>
      <c r="AB190" s="25" t="str">
        <f aca="false">IF(Tasks[[#This Row],[Task Name]]="","",IF(Tasks[[#This Row],[_IsSummary]],MAX(INDEX(Tasks[_ShownFcstFinish],Tasks[[#This Row],[_Row]]+1):INDEX(Tasks[_ShownFcstFinish],Tasks[[#This Row],[_Row]]+Tasks[[#This Row],[_Descendants]])),Tasks[[#This Row],[_ShownFcstFinish]]))</f>
        <v/>
      </c>
      <c r="AC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0" s="25" t="str">
        <f aca="false">IF(Tasks[[#This Row],[Task Name]]="","",IF(Tasks[[#This Row],[_IsSummary]],MIN(INDEX(Tasks[_LeafLateStart],Tasks[[#This Row],[_Row]]+1):INDEX(Tasks[_LeafLateStart],Tasks[[#This Row],[_Row]]+Tasks[[#This Row],[_Descendants]])),Tasks[[#This Row],[_LeafLateStart]]))</f>
        <v/>
      </c>
      <c r="AF190" s="25" t="str">
        <f aca="false">IF(Tasks[[#This Row],[Task Name]]="","",IF(Tasks[[#This Row],[_IsSummary]],MAX(INDEX(Tasks[_LeafLateFinish],Tasks[[#This Row],[_Row]]+1):INDEX(Tasks[_LeafLateFinish],Tasks[[#This Row],[_Row]]+Tasks[[#This Row],[_Descendants]])),Tasks[[#This Row],[_LeafLateFinish]]))</f>
        <v/>
      </c>
      <c r="AG190" s="28" t="str">
        <f aca="false">IF(Tasks[[#This Row],[Task Name]]="","",IF(Tasks[[#This Row],[_IsSummary]],MIN(INDEX(Tasks[_LeafTotalSlack],Tasks[[#This Row],[_Row]]+1):INDEX(Tasks[_LeafTotalSlack],Tasks[[#This Row],[_Row]]+Tasks[[#This Row],[_Descendants]])),Tasks[[#This Row],[_LeafTotalSlack]]))</f>
        <v/>
      </c>
      <c r="AH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0" s="28" t="str">
        <f aca="false">IF(Tasks[[#This Row],[Task Name]]="","",IF(IF(Tasks[[#This Row],[_IsSummary]],COUNTIF(INDEX(Tasks[_LeafCritical],Tasks[[#This Row],[_Row]]+1):INDEX(Tasks[_LeafCritical],Tasks[[#This Row],[_Row]]+Tasks[[#This Row],[_Descendants]]),TRUE())&gt;0,Tasks[[#This Row],[_LeafCritical]]),"Yes",""))</f>
        <v/>
      </c>
      <c r="AJ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0" s="89"/>
      <c r="AM1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0" s="28" t="str">
        <f aca="false">IF(Tasks[[#This Row],[Task Name]]="","",IF(Tasks[[#This Row],[Progress]]&gt;=1,"Complete",IF(OR(N(Tasks[[#This Row],[Actual Start]])&gt;0,Tasks[[#This Row],[Progress]]&gt;0),IF(Tasks[[#This Row],[Finish Var]]&gt;0,"Behind","In Progress"),IF(Tasks[[#This Row],[Planned Start]]&lt;StatusDate,"Late Start","Not Started"))))</f>
        <v/>
      </c>
      <c r="AO190" s="30"/>
      <c r="AP190" s="89"/>
      <c r="AQ1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0" s="96" t="str">
        <f aca="false">IF(Tasks[[#This Row],[Task Name]]="","",IF(Tasks[[#This Row],[_IsSummary]],SUM(INDEX(Tasks[_LeafTotalWork],Tasks[[#This Row],[_Row]]+1):INDEX(Tasks[_LeafTotalWork],Tasks[[#This Row],[_Row]]+Tasks[[#This Row],[_Descendants]])),Tasks[[#This Row],[_LeafTotalWork]]))</f>
        <v/>
      </c>
      <c r="AT190" s="97" t="str">
        <f aca="false">IF(Tasks[[#This Row],[Task Name]]="","",IF(Tasks[[#This Row],[_IsSummary]],SUM(INDEX(Tasks[_LeafTotalCost],Tasks[[#This Row],[_Row]]+1):INDEX(Tasks[_LeafTotalCost],Tasks[[#This Row],[_Row]]+Tasks[[#This Row],[_Descendants]])),Tasks[[#This Row],[_LeafTotalCost]]))</f>
        <v/>
      </c>
      <c r="AU190" s="98"/>
      <c r="AV190" s="29"/>
      <c r="AW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0" s="83"/>
      <c r="AY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0" s="30"/>
      <c r="BA190" s="25" t="str">
        <f aca="false">IF(Tasks[[#This Row],[Task Name]]="","",Tasks[[#This Row],[Forecast Start]])</f>
        <v/>
      </c>
      <c r="BB190" s="25" t="str">
        <f aca="false">IF(Tasks[[#This Row],[Task Name]]="","",Tasks[[#This Row],[Forecast Finish]])</f>
        <v/>
      </c>
      <c r="BC190" s="28" t="str">
        <f aca="false">IF(Tasks[[#This Row],[Task Name]]="","",IF(Tasks[[#This Row],[_IsSummary]],NETWORKDAYS.INTL(Tasks[[#This Row],[Forecast Start]],Tasks[[#This Row],[Forecast Finish]],WorkWeek,Holidays),N(Tasks[[#This Row],[Duration]])))</f>
        <v/>
      </c>
      <c r="BD190" s="96" t="str">
        <f aca="false">IF(Tasks[[#This Row],[Task Name]]="","",Tasks[[#This Row],[Work]])</f>
        <v/>
      </c>
      <c r="BE190" s="97" t="str">
        <f aca="false">IF(Tasks[[#This Row],[Task Name]]="","",Tasks[[#This Row],[Cost]])</f>
        <v/>
      </c>
      <c r="BF190" s="75"/>
      <c r="BG190" s="75"/>
      <c r="BH190" s="29"/>
      <c r="BI190" s="99"/>
      <c r="BJ190" s="98"/>
      <c r="BK190" s="28" t="str">
        <f aca="false">IF(OR(Tasks[[#This Row],[Task Name]]="",Tasks[[#This Row],[Baseline Duration]]=""),"",Tasks[[#This Row],[BL Source Duration]]-N(Tasks[[#This Row],[Baseline Duration]]))</f>
        <v/>
      </c>
      <c r="BL190" s="96" t="str">
        <f aca="false">IF(OR(Tasks[[#This Row],[Task Name]]="",Tasks[[#This Row],[Baseline Work]]=""),"",Tasks[[#This Row],[Work]]-N(Tasks[[#This Row],[Baseline Work]]))</f>
        <v/>
      </c>
      <c r="BM190" s="97" t="str">
        <f aca="false">IF(OR(Tasks[[#This Row],[Task Name]]="",Tasks[[#This Row],[Baseline Cost]]=""),"",Tasks[[#This Row],[Cost]]-N(Tasks[[#This Row],[Baseline Cost]]))</f>
        <v/>
      </c>
      <c r="BN190" s="97" t="str">
        <f aca="false">IF(Tasks[[#This Row],[Task Name]]="","",IF(Tasks[[#This Row],[_IsSummary]],SUM(INDEX(Tasks[_LeafBudget],Tasks[[#This Row],[_Row]]+1):INDEX(Tasks[_LeafBudget],Tasks[[#This Row],[_Row]]+Tasks[[#This Row],[_Descendants]])),Tasks[[#This Row],[_LeafBudget]]))</f>
        <v/>
      </c>
      <c r="BO190" s="97" t="str">
        <f aca="false">IF(Tasks[[#This Row],[Task Name]]="","",IF(Tasks[[#This Row],[_IsSummary]],SUM(INDEX(Tasks[_LeafPV],Tasks[[#This Row],[_Row]]+1):INDEX(Tasks[_LeafPV],Tasks[[#This Row],[_Row]]+Tasks[[#This Row],[_Descendants]])),Tasks[[#This Row],[_LeafPV]]))</f>
        <v/>
      </c>
      <c r="BP190" s="97" t="str">
        <f aca="false">IF(Tasks[[#This Row],[Task Name]]="","",IF(Tasks[[#This Row],[_IsSummary]],SUM(INDEX(Tasks[_LeafEV],Tasks[[#This Row],[_Row]]+1):INDEX(Tasks[_LeafEV],Tasks[[#This Row],[_Row]]+Tasks[[#This Row],[_Descendants]])),Tasks[[#This Row],[_LeafEV]]))</f>
        <v/>
      </c>
      <c r="BQ190" s="97" t="str">
        <f aca="false">IF(Tasks[[#This Row],[Task Name]]="","",IF(Tasks[[#This Row],[_IsSummary]],SUM(INDEX(Tasks[_LeafAC],Tasks[[#This Row],[_Row]]+1):INDEX(Tasks[_LeafAC],Tasks[[#This Row],[_Row]]+Tasks[[#This Row],[_Descendants]])),Tasks[[#This Row],[_LeafAC]]))</f>
        <v/>
      </c>
      <c r="BR190" s="41" t="str">
        <f aca="false">IF(Tasks[[#This Row],[Task Name]]="","",MAX(1,N(Tasks[[#This Row],[Level]])))</f>
        <v/>
      </c>
      <c r="BS190" s="41" t="n">
        <f aca="false">ROW()-ROW(Tasks[[#Headers],[ID]])</f>
        <v>185</v>
      </c>
      <c r="BT190" s="41" t="n">
        <f aca="false">IF(OR(Tasks[[#This Row],[Task Name]]="",Tasks[[#This Row],[_Level]]&lt;=1),0,IFERROR(LOOKUP(2,1/(Tasks[[#Headers],[_Level]]:Tasks[[#This Row],[_Level]]=Tasks[[#This Row],[_Level]]-1),ROW(Tasks[[#Headers],[_Level]]:Tasks[[#This Row],[_Level]])),0))</f>
        <v>0</v>
      </c>
      <c r="BU190" s="41" t="n">
        <f aca="false">IFERROR(N(INDEX(Tasks[_Level],Tasks[[#This Row],[_Row]]+1)),0)</f>
        <v>0</v>
      </c>
      <c r="BV190" s="100" t="b">
        <f aca="false">AND(Tasks[[#This Row],[Task Name]]&lt;&gt;"",Tasks[[#This Row],[_NextLevel]]&gt;Tasks[[#This Row],[_Level]])</f>
        <v>0</v>
      </c>
      <c r="BW190" s="41" t="n">
        <f aca="false">IF(Tasks[[#This Row],[_IsSummary]],COUNTIF(Tasks[WBS],Tasks[[#This Row],[WBS]]&amp;".*"),0)</f>
        <v>0</v>
      </c>
      <c r="BX190" s="41" t="n">
        <f aca="false">IF(AND(Tasks[[#This Row],[Task Name]]&lt;&gt;"",NOT(Tasks[[#This Row],[_IsSummary]])),1,0)</f>
        <v>0</v>
      </c>
      <c r="BY190" s="41" t="n">
        <f aca="false">IF(N(Tasks[[#This Row],[Pred1 UID]])=0,0,IFERROR(MATCH(Tasks[[#This Row],[Pred1 UID]],Tasks[UID],0),-1))</f>
        <v>0</v>
      </c>
      <c r="BZ190" s="41" t="n">
        <f aca="false">IF(N(Tasks[[#This Row],[Pred2 UID]])=0,0,IFERROR(MATCH(Tasks[[#This Row],[Pred2 UID]],Tasks[UID],0),-1))</f>
        <v>0</v>
      </c>
      <c r="CA190" s="41" t="n">
        <f aca="false">IF(N(Tasks[[#This Row],[Pred3 UID]])=0,0,IFERROR(MATCH(Tasks[[#This Row],[Pred3 UID]],Tasks[UID],0),-1))</f>
        <v>0</v>
      </c>
      <c r="CB190" s="41" t="n">
        <f aca="false">IF(N(Tasks[[#This Row],[Pred4 UID]])=0,0,IFERROR(MATCH(Tasks[[#This Row],[Pred4 UID]],Tasks[UID],0),-1))</f>
        <v>0</v>
      </c>
      <c r="CC1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0" s="101" t="n">
        <f aca="false">IF(OR(Tasks[[#This Row],[_ConstraintCode]]=2,Tasks[[#This Row],[_ConstraintCode]]=3,Tasks[[#This Row],[_ConstraintCode]]=4,Tasks[[#This Row],[_ConstraintCode]]=6),Tasks[[#This Row],[_ConstraintStart]],0)</f>
        <v>0</v>
      </c>
      <c r="CF190" s="101" t="n">
        <f aca="false">IF(OR(Tasks[[#This Row],[_ConstraintCode]]=2,Tasks[[#This Row],[_ConstraintCode]]=3,Tasks[[#This Row],[_ConstraintCode]]=5,Tasks[[#This Row],[_ConstraintCode]]=7),Tasks[[#This Row],[_ConstraintStart]],2958465)</f>
        <v>2958465</v>
      </c>
      <c r="CG19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0" s="101" t="str">
        <f aca="false">IF(NOT(Tasks[[#This Row],[_IsLeaf]]=1),"",IF(N(Tasks[[#This Row],[Duration]])&lt;=0,Tasks[[#This Row],[_LeafCalcStart]],WORKDAY.INTL(Tasks[[#This Row],[_LeafCalcStart]],Tasks[[#This Row],[Duration]]-1,WorkWeek,Holidays)))</f>
        <v/>
      </c>
      <c r="CI19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0" s="41" t="n">
        <f aca="false">IF(NOT(Tasks[[#This Row],[_IsLeaf]]=1),0,IF(N(Tasks[[#This Row],[Actual Finish]])&gt;0,1,MIN(1,N(Tasks[[#This Row],[% Complete]]))))</f>
        <v>0</v>
      </c>
      <c r="CL190" s="41" t="n">
        <f aca="false">IF(OR(NOT(Tasks[[#This Row],[_IsLeaf]]=1),Tasks[[#This Row],[Resource]]=""),0,N(Tasks[[#This Row],[Duration]])*HoursPerDay*IF(Tasks[[#This Row],[Units]]="",DefaultUnits,Tasks[[#This Row],[Units]]))</f>
        <v>0</v>
      </c>
      <c r="CM190" s="41" t="n">
        <f aca="false">IF(Tasks[[#This Row],[_LeafWork]]=0,0,Tasks[[#This Row],[_LeafWork]]*IFERROR(INDEX(res_Rate,MATCH(Tasks[[#This Row],[Resource]],res_Name,0)),0))</f>
        <v>0</v>
      </c>
      <c r="CN190" s="41" t="n">
        <f aca="false">Tasks[[#This Row],[_LeafWork]]+IF(Tasks[[#This Row],[_IsLeaf]]=1,SUMIFS(asg_Work,asg_TaskUID,Tasks[[#This Row],[UID]],asg_Valid,1),0)</f>
        <v>0</v>
      </c>
      <c r="CO190" s="41" t="n">
        <f aca="false">Tasks[[#This Row],[_LeafCost]]+IF(Tasks[[#This Row],[_IsLeaf]]=1,SUMIFS(asg_Cost,asg_TaskUID,Tasks[[#This Row],[UID]],asg_Valid,1),0)</f>
        <v>0</v>
      </c>
      <c r="CP190" s="41" t="n">
        <f aca="false">IF(Tasks[[#This Row],[_LeafTotalCost]]=0,Tasks[[#This Row],[_LeafAC]],Tasks[[#This Row],[_LeafAC]]*Tasks[[#This Row],[_LeafCost]]/Tasks[[#This Row],[_LeafTotalCost]])</f>
        <v>0</v>
      </c>
      <c r="CQ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0" s="41" t="n">
        <f aca="false">IF(NOT(Tasks[[#This Row],[_IsLeaf]]=1),0,MAX(_xlfn.MAXIFS(Tasks[_Row],Tasks[Pred1 UID],Tasks[[#This Row],[UID]]),_xlfn.MAXIFS(Tasks[_Row],Tasks[Pred2 UID],Tasks[[#This Row],[UID]]),_xlfn.MAXIFS(Tasks[_Row],Tasks[Pred3 UID],Tasks[[#This Row],[UID]]),_xlfn.MAXIFS(Tasks[_Row],Tasks[Pred4 UID],Tasks[[#This Row],[UID]])))</f>
        <v>0</v>
      </c>
      <c r="CZ1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0" s="101" t="str">
        <f aca="false">IF(NOT(Tasks[[#This Row],[_IsLeaf]]=1),"",IF(N(Tasks[[#This Row],[Duration]])&lt;=0,Tasks[[#This Row],[_LeafLateFinish]],WORKDAY.INTL(Tasks[[#This Row],[_LeafLateFinish]],-(Tasks[[#This Row],[Duration]]-1),WorkWeek,Holidays)))</f>
        <v/>
      </c>
      <c r="DC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0" s="100" t="b">
        <f aca="false">AND(Tasks[[#This Row],[_IsLeaf]]=1,Tasks[[#This Row],[_LeafProgress]]&lt;1,N(Tasks[[#This Row],[_LeafTotalSlack]])&lt;=CriticalSlackDays)</f>
        <v>0</v>
      </c>
      <c r="DE190" s="41" t="n">
        <f aca="false">IF(AND(Tasks[[#This Row],[_IsLeaf]]=1,Tasks[[#This Row],[_ConstraintCode]]=1,Tasks[[#This Row],[Mode]]&lt;&gt;"Manual",N(Tasks[[#This Row],[Actual Start]])=0),MAX(0,N(Tasks[[#This Row],[Free Slack]])),0)</f>
        <v>0</v>
      </c>
      <c r="DF190" s="101" t="str">
        <f aca="false">IF(NOT(Tasks[[#This Row],[_IsLeaf]]=1),"",IF(Tasks[[#This Row],[_AlapShift]]=0,Tasks[[#This Row],[_LeafCalcStart]],WORKDAY.INTL(Tasks[[#This Row],[_LeafCalcStart]],Tasks[[#This Row],[_AlapShift]],WorkWeek,Holidays)))</f>
        <v/>
      </c>
      <c r="DG190" s="101" t="str">
        <f aca="false">IF(NOT(Tasks[[#This Row],[_IsLeaf]]=1),"",IF(Tasks[[#This Row],[_AlapShift]]=0,Tasks[[#This Row],[_LeafCalcFinish]],WORKDAY.INTL(Tasks[[#This Row],[_LeafCalcFinish]],Tasks[[#This Row],[_AlapShift]],WorkWeek,Holidays)))</f>
        <v/>
      </c>
      <c r="DH190" s="101" t="str">
        <f aca="false">IF(NOT(Tasks[[#This Row],[_IsLeaf]]=1),"",IF(Tasks[[#This Row],[_AlapShift]]=0,Tasks[[#This Row],[_LeafFcstStart]],WORKDAY.INTL(Tasks[[#This Row],[_LeafFcstStart]],Tasks[[#This Row],[_AlapShift]],WorkWeek,Holidays)))</f>
        <v/>
      </c>
      <c r="DI190" s="101" t="str">
        <f aca="false">IF(NOT(Tasks[[#This Row],[_IsLeaf]]=1),"",IF(Tasks[[#This Row],[_AlapShift]]=0,Tasks[[#This Row],[_LeafFcstFinish]],WORKDAY.INTL(Tasks[[#This Row],[_LeafFcstFinish]],Tasks[[#This Row],[_AlapShift]],WorkWeek,Holidays)))</f>
        <v/>
      </c>
      <c r="DJ190" s="101" t="str">
        <f aca="false">IF(Tasks[[#This Row],[Task Name]]="","",IF(Tasks[[#This Row],[_IsSummary]],MIN(INDEX(Tasks[_ShownCalcStart],Tasks[[#This Row],[_Row]]+1):INDEX(Tasks[_ShownCalcStart],Tasks[[#This Row],[_Row]]+Tasks[[#This Row],[_Descendants]])),Tasks[[#This Row],[_ShownCalcStart]]))</f>
        <v/>
      </c>
      <c r="DK190" s="101" t="str">
        <f aca="false">IF(Tasks[[#This Row],[Task Name]]="","",IF(Tasks[[#This Row],[_IsSummary]],MAX(INDEX(Tasks[_ShownCalcFinish],Tasks[[#This Row],[_Row]]+1):INDEX(Tasks[_ShownCalcFinish],Tasks[[#This Row],[_Row]]+Tasks[[#This Row],[_Descendants]])),Tasks[[#This Row],[_ShownCalcFinish]]))</f>
        <v/>
      </c>
      <c r="D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0" s="41" t="n">
        <f aca="false">IF(AND(Tasks[[#This Row],[_IsLeaf]]=1,Tasks[[#This Row],[_LeafTotalWork]]&gt;0),NETWORKDAYS.INTL(ProjectStart,Tasks[[#This Row],[_ShownFcstStart]],WorkWeek,Holidays),0)</f>
        <v>0</v>
      </c>
      <c r="DY190" s="41" t="n">
        <f aca="false">IF(AND(Tasks[[#This Row],[_IsLeaf]]=1,Tasks[[#This Row],[_LeafTotalWork]]&gt;0),MAX(Tasks[[#This Row],[_StartWorkday]],NETWORKDAYS.INTL(ProjectStart,Tasks[[#This Row],[_ShownFcstFinish]],WorkWeek,Holidays)),0)</f>
        <v>0</v>
      </c>
      <c r="DZ190" s="41" t="n">
        <f aca="false">IF(AND(Tasks[[#This Row],[_IsLeaf]]=1,Tasks[[#This Row],[_LeafTotalWork]]&gt;0),Tasks[[#This Row],[_LeafWork]]/(Tasks[[#This Row],[_FinishWorkday]]-Tasks[[#This Row],[_StartWorkday]]+1),0)</f>
        <v>0</v>
      </c>
      <c r="EA190" s="41" t="n">
        <f aca="false">Tasks[[#This Row],[_WorkPerWorkday]]*(Tasks[[#This Row],[_StartWorkday]]-1)</f>
        <v>-0</v>
      </c>
      <c r="EB190" s="41" t="n">
        <f aca="false">IF(Tasks[[#This Row],[_IsLeaf]]=1,MAX(N(Tasks[[#This Row],[Duration]]),0.1),0)</f>
        <v>0</v>
      </c>
      <c r="EC190" s="41" t="n">
        <f aca="false">Tasks[[#This Row],[_WeightDur]]*Tasks[[#This Row],[_LeafProgress]]</f>
        <v>0</v>
      </c>
      <c r="ED1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0" s="41" t="str">
        <f aca="false">IF(AND(Tasks[[#This Row],[_IsLeaf]]=1,N(Tasks[[#This Row],[Duration]])=0,Tasks[[#This Row],[_LeafProgress]]&lt;1),Tasks[[#This Row],[_ShownFcstFinish]]+Tasks[[#This Row],[_Row]]/100000,"")</f>
        <v/>
      </c>
      <c r="EF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0" s="41" t="n">
        <f aca="false">IF(NOT(Tasks[[#This Row],[_IsLeaf]]=1),0,IF(Tasks[[#This Row],[Baseline Cost]]="",Tasks[[#This Row],[_LeafTotalCost]],N(Tasks[[#This Row],[Baseline Cost]])))</f>
        <v>0</v>
      </c>
      <c r="EH190" s="41" t="n">
        <f aca="false">Tasks[[#This Row],[_LeafBudget]]*Tasks[[#This Row],[_PlannedPct]]</f>
        <v>0</v>
      </c>
      <c r="EI190" s="41" t="n">
        <f aca="false">Tasks[[#This Row],[_LeafBudget]]*Tasks[[#This Row],[_LeafProgress]]</f>
        <v>0</v>
      </c>
      <c r="EJ190" s="41" t="n">
        <f aca="false">IF(NOT(Tasks[[#This Row],[_IsLeaf]]=1),0,IF(Tasks[[#This Row],[Actual Cost]]="",Tasks[[#This Row],[_LeafTotalCost]]*Tasks[[#This Row],[_LeafProgress]],N(Tasks[[#This Row],[Actual Cost]])))</f>
        <v>0</v>
      </c>
      <c r="EK190" s="41" t="str">
        <f aca="false">IF(Tasks[[#This Row],[Task Name]]="","",LEFT(Tasks[[#This Row],[WBS]],FIND(".",Tasks[[#This Row],[WBS]]&amp;".")-1))</f>
        <v/>
      </c>
      <c r="EL190" s="41" t="str">
        <f aca="false">IF(AND(Tasks[[#This Row],[Task Name]]&lt;&gt;"",Tasks[[#This Row],[_Level]]=1),Tasks[[#This Row],[_Row]],"")</f>
        <v/>
      </c>
      <c r="EM190" s="41" t="str">
        <f aca="false">IF(AND(Tasks[[#This Row],[_IsLeaf]]=1,N(Tasks[[#This Row],[Duration]])=0),Tasks[[#This Row],[Planned Finish]]+Tasks[[#This Row],[_Row]]/100000,"")</f>
        <v/>
      </c>
      <c r="EN190" s="41" t="str">
        <f aca="false">IF(AND(Tasks[[#This Row],[_IsLeaf]]=1,Tasks[[#This Row],[_LeafProgress]]&lt;1,OR(N(Tasks[[#This Row],[Finish Var]])&gt;0,Tasks[[#This Row],[Status]]="Late Start")),MAX(0,Tasks[[#This Row],[Finish Var]])+1-Tasks[[#This Row],[_Row]]/1000000,"")</f>
        <v/>
      </c>
      <c r="EO190" s="41" t="str">
        <f aca="false">IF(AND(Tasks[[#This Row],[_IsLeaf]]=1,N(Tasks[[#This Row],[Actual Start]])=0,Tasks[[#This Row],[_ShownFcstStart]]&gt;=StatusDate,Tasks[[#This Row],[_ShownFcstStart]]&lt;=LookaheadEnd),Tasks[[#This Row],[_ShownFcstStart]]+Tasks[[#This Row],[_Row]]/100000,"")</f>
        <v/>
      </c>
      <c r="EP190" s="41" t="str">
        <f aca="false">IF(AND(Tasks[[#This Row],[_IsLeaf]]=1,Tasks[[#This Row],[_LeafProgress]]&lt;1,Tasks[[#This Row],[_ShownFcstFinish]]&gt;=StatusDate,Tasks[[#This Row],[_ShownFcstFinish]]&lt;=LookaheadEnd),Tasks[[#This Row],[_ShownFcstFinish]]+Tasks[[#This Row],[_Row]]/100000,"")</f>
        <v/>
      </c>
      <c r="EQ190" s="41" t="str">
        <f aca="false">IF(Tasks[[#This Row],[_LeafCritical]],Tasks[[#This Row],[_ShownFcstStart]]+Tasks[[#This Row],[_Row]]/100000,"")</f>
        <v/>
      </c>
      <c r="ER190" s="41" t="n">
        <f aca="false">Tasks[[#This Row],[_LeafWork]]*Tasks[[#This Row],[_LeafProgress]]</f>
        <v>0</v>
      </c>
      <c r="ES190" s="101" t="str">
        <f aca="false">IF(AND(Tasks[[#This Row],[_IsLeaf]]=1,Tasks[[#This Row],[_LeafProgress]]&gt;=1),IF(N(Tasks[[#This Row],[Actual Finish]])&gt;0,Tasks[[#This Row],[Actual Finish]],Tasks[[#This Row],[_ShownFcstFinish]]),"")</f>
        <v/>
      </c>
      <c r="ET190" s="41" t="n">
        <f aca="false">IF(Tasks[[#This Row],[_IsLeaf]]=1,N(Tasks[[#This Row],[Story Points]]),0)</f>
        <v>0</v>
      </c>
      <c r="EU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29"/>
      <c r="O191" s="29"/>
      <c r="P191" s="29"/>
      <c r="Q191" s="29"/>
      <c r="R191" s="29"/>
      <c r="S191" s="29"/>
      <c r="T191" s="30"/>
      <c r="U191" s="75"/>
      <c r="V191" s="75"/>
      <c r="W191" s="25" t="str">
        <f aca="false">IF(Tasks[[#This Row],[Task Name]]="","",IF(N(Tasks[[#This Row],[Baseline Start]])&gt;0,Tasks[[#This Row],[Baseline Start]],Tasks[[#This Row],[_CalcStart]]))</f>
        <v/>
      </c>
      <c r="X191" s="25" t="str">
        <f aca="false">IF(Tasks[[#This Row],[Task Name]]="","",IF(N(Tasks[[#This Row],[Baseline Finish]])&gt;0,Tasks[[#This Row],[Baseline Finish]],Tasks[[#This Row],[_CalcFinish]]))</f>
        <v/>
      </c>
      <c r="Y191" s="75"/>
      <c r="Z191" s="75"/>
      <c r="AA191" s="25" t="str">
        <f aca="false">IF(Tasks[[#This Row],[Task Name]]="","",IF(Tasks[[#This Row],[_IsSummary]],MIN(INDEX(Tasks[_ShownFcstStart],Tasks[[#This Row],[_Row]]+1):INDEX(Tasks[_ShownFcstStart],Tasks[[#This Row],[_Row]]+Tasks[[#This Row],[_Descendants]])),Tasks[[#This Row],[_ShownFcstStart]]))</f>
        <v/>
      </c>
      <c r="AB191" s="25" t="str">
        <f aca="false">IF(Tasks[[#This Row],[Task Name]]="","",IF(Tasks[[#This Row],[_IsSummary]],MAX(INDEX(Tasks[_ShownFcstFinish],Tasks[[#This Row],[_Row]]+1):INDEX(Tasks[_ShownFcstFinish],Tasks[[#This Row],[_Row]]+Tasks[[#This Row],[_Descendants]])),Tasks[[#This Row],[_ShownFcstFinish]]))</f>
        <v/>
      </c>
      <c r="AC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1" s="25" t="str">
        <f aca="false">IF(Tasks[[#This Row],[Task Name]]="","",IF(Tasks[[#This Row],[_IsSummary]],MIN(INDEX(Tasks[_LeafLateStart],Tasks[[#This Row],[_Row]]+1):INDEX(Tasks[_LeafLateStart],Tasks[[#This Row],[_Row]]+Tasks[[#This Row],[_Descendants]])),Tasks[[#This Row],[_LeafLateStart]]))</f>
        <v/>
      </c>
      <c r="AF191" s="25" t="str">
        <f aca="false">IF(Tasks[[#This Row],[Task Name]]="","",IF(Tasks[[#This Row],[_IsSummary]],MAX(INDEX(Tasks[_LeafLateFinish],Tasks[[#This Row],[_Row]]+1):INDEX(Tasks[_LeafLateFinish],Tasks[[#This Row],[_Row]]+Tasks[[#This Row],[_Descendants]])),Tasks[[#This Row],[_LeafLateFinish]]))</f>
        <v/>
      </c>
      <c r="AG191" s="28" t="str">
        <f aca="false">IF(Tasks[[#This Row],[Task Name]]="","",IF(Tasks[[#This Row],[_IsSummary]],MIN(INDEX(Tasks[_LeafTotalSlack],Tasks[[#This Row],[_Row]]+1):INDEX(Tasks[_LeafTotalSlack],Tasks[[#This Row],[_Row]]+Tasks[[#This Row],[_Descendants]])),Tasks[[#This Row],[_LeafTotalSlack]]))</f>
        <v/>
      </c>
      <c r="AH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1" s="28" t="str">
        <f aca="false">IF(Tasks[[#This Row],[Task Name]]="","",IF(IF(Tasks[[#This Row],[_IsSummary]],COUNTIF(INDEX(Tasks[_LeafCritical],Tasks[[#This Row],[_Row]]+1):INDEX(Tasks[_LeafCritical],Tasks[[#This Row],[_Row]]+Tasks[[#This Row],[_Descendants]]),TRUE())&gt;0,Tasks[[#This Row],[_LeafCritical]]),"Yes",""))</f>
        <v/>
      </c>
      <c r="AJ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1" s="89"/>
      <c r="AM1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1" s="28" t="str">
        <f aca="false">IF(Tasks[[#This Row],[Task Name]]="","",IF(Tasks[[#This Row],[Progress]]&gt;=1,"Complete",IF(OR(N(Tasks[[#This Row],[Actual Start]])&gt;0,Tasks[[#This Row],[Progress]]&gt;0),IF(Tasks[[#This Row],[Finish Var]]&gt;0,"Behind","In Progress"),IF(Tasks[[#This Row],[Planned Start]]&lt;StatusDate,"Late Start","Not Started"))))</f>
        <v/>
      </c>
      <c r="AO191" s="30"/>
      <c r="AP191" s="89"/>
      <c r="AQ1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1" s="96" t="str">
        <f aca="false">IF(Tasks[[#This Row],[Task Name]]="","",IF(Tasks[[#This Row],[_IsSummary]],SUM(INDEX(Tasks[_LeafTotalWork],Tasks[[#This Row],[_Row]]+1):INDEX(Tasks[_LeafTotalWork],Tasks[[#This Row],[_Row]]+Tasks[[#This Row],[_Descendants]])),Tasks[[#This Row],[_LeafTotalWork]]))</f>
        <v/>
      </c>
      <c r="AT191" s="97" t="str">
        <f aca="false">IF(Tasks[[#This Row],[Task Name]]="","",IF(Tasks[[#This Row],[_IsSummary]],SUM(INDEX(Tasks[_LeafTotalCost],Tasks[[#This Row],[_Row]]+1):INDEX(Tasks[_LeafTotalCost],Tasks[[#This Row],[_Row]]+Tasks[[#This Row],[_Descendants]])),Tasks[[#This Row],[_LeafTotalCost]]))</f>
        <v/>
      </c>
      <c r="AU191" s="98"/>
      <c r="AV191" s="29"/>
      <c r="AW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1" s="83"/>
      <c r="AY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1" s="30"/>
      <c r="BA191" s="25" t="str">
        <f aca="false">IF(Tasks[[#This Row],[Task Name]]="","",Tasks[[#This Row],[Forecast Start]])</f>
        <v/>
      </c>
      <c r="BB191" s="25" t="str">
        <f aca="false">IF(Tasks[[#This Row],[Task Name]]="","",Tasks[[#This Row],[Forecast Finish]])</f>
        <v/>
      </c>
      <c r="BC191" s="28" t="str">
        <f aca="false">IF(Tasks[[#This Row],[Task Name]]="","",IF(Tasks[[#This Row],[_IsSummary]],NETWORKDAYS.INTL(Tasks[[#This Row],[Forecast Start]],Tasks[[#This Row],[Forecast Finish]],WorkWeek,Holidays),N(Tasks[[#This Row],[Duration]])))</f>
        <v/>
      </c>
      <c r="BD191" s="96" t="str">
        <f aca="false">IF(Tasks[[#This Row],[Task Name]]="","",Tasks[[#This Row],[Work]])</f>
        <v/>
      </c>
      <c r="BE191" s="97" t="str">
        <f aca="false">IF(Tasks[[#This Row],[Task Name]]="","",Tasks[[#This Row],[Cost]])</f>
        <v/>
      </c>
      <c r="BF191" s="75"/>
      <c r="BG191" s="75"/>
      <c r="BH191" s="29"/>
      <c r="BI191" s="99"/>
      <c r="BJ191" s="98"/>
      <c r="BK191" s="28" t="str">
        <f aca="false">IF(OR(Tasks[[#This Row],[Task Name]]="",Tasks[[#This Row],[Baseline Duration]]=""),"",Tasks[[#This Row],[BL Source Duration]]-N(Tasks[[#This Row],[Baseline Duration]]))</f>
        <v/>
      </c>
      <c r="BL191" s="96" t="str">
        <f aca="false">IF(OR(Tasks[[#This Row],[Task Name]]="",Tasks[[#This Row],[Baseline Work]]=""),"",Tasks[[#This Row],[Work]]-N(Tasks[[#This Row],[Baseline Work]]))</f>
        <v/>
      </c>
      <c r="BM191" s="97" t="str">
        <f aca="false">IF(OR(Tasks[[#This Row],[Task Name]]="",Tasks[[#This Row],[Baseline Cost]]=""),"",Tasks[[#This Row],[Cost]]-N(Tasks[[#This Row],[Baseline Cost]]))</f>
        <v/>
      </c>
      <c r="BN191" s="97" t="str">
        <f aca="false">IF(Tasks[[#This Row],[Task Name]]="","",IF(Tasks[[#This Row],[_IsSummary]],SUM(INDEX(Tasks[_LeafBudget],Tasks[[#This Row],[_Row]]+1):INDEX(Tasks[_LeafBudget],Tasks[[#This Row],[_Row]]+Tasks[[#This Row],[_Descendants]])),Tasks[[#This Row],[_LeafBudget]]))</f>
        <v/>
      </c>
      <c r="BO191" s="97" t="str">
        <f aca="false">IF(Tasks[[#This Row],[Task Name]]="","",IF(Tasks[[#This Row],[_IsSummary]],SUM(INDEX(Tasks[_LeafPV],Tasks[[#This Row],[_Row]]+1):INDEX(Tasks[_LeafPV],Tasks[[#This Row],[_Row]]+Tasks[[#This Row],[_Descendants]])),Tasks[[#This Row],[_LeafPV]]))</f>
        <v/>
      </c>
      <c r="BP191" s="97" t="str">
        <f aca="false">IF(Tasks[[#This Row],[Task Name]]="","",IF(Tasks[[#This Row],[_IsSummary]],SUM(INDEX(Tasks[_LeafEV],Tasks[[#This Row],[_Row]]+1):INDEX(Tasks[_LeafEV],Tasks[[#This Row],[_Row]]+Tasks[[#This Row],[_Descendants]])),Tasks[[#This Row],[_LeafEV]]))</f>
        <v/>
      </c>
      <c r="BQ191" s="97" t="str">
        <f aca="false">IF(Tasks[[#This Row],[Task Name]]="","",IF(Tasks[[#This Row],[_IsSummary]],SUM(INDEX(Tasks[_LeafAC],Tasks[[#This Row],[_Row]]+1):INDEX(Tasks[_LeafAC],Tasks[[#This Row],[_Row]]+Tasks[[#This Row],[_Descendants]])),Tasks[[#This Row],[_LeafAC]]))</f>
        <v/>
      </c>
      <c r="BR191" s="41" t="str">
        <f aca="false">IF(Tasks[[#This Row],[Task Name]]="","",MAX(1,N(Tasks[[#This Row],[Level]])))</f>
        <v/>
      </c>
      <c r="BS191" s="41" t="n">
        <f aca="false">ROW()-ROW(Tasks[[#Headers],[ID]])</f>
        <v>186</v>
      </c>
      <c r="BT191" s="41" t="n">
        <f aca="false">IF(OR(Tasks[[#This Row],[Task Name]]="",Tasks[[#This Row],[_Level]]&lt;=1),0,IFERROR(LOOKUP(2,1/(Tasks[[#Headers],[_Level]]:Tasks[[#This Row],[_Level]]=Tasks[[#This Row],[_Level]]-1),ROW(Tasks[[#Headers],[_Level]]:Tasks[[#This Row],[_Level]])),0))</f>
        <v>0</v>
      </c>
      <c r="BU191" s="41" t="n">
        <f aca="false">IFERROR(N(INDEX(Tasks[_Level],Tasks[[#This Row],[_Row]]+1)),0)</f>
        <v>0</v>
      </c>
      <c r="BV191" s="100" t="b">
        <f aca="false">AND(Tasks[[#This Row],[Task Name]]&lt;&gt;"",Tasks[[#This Row],[_NextLevel]]&gt;Tasks[[#This Row],[_Level]])</f>
        <v>0</v>
      </c>
      <c r="BW191" s="41" t="n">
        <f aca="false">IF(Tasks[[#This Row],[_IsSummary]],COUNTIF(Tasks[WBS],Tasks[[#This Row],[WBS]]&amp;".*"),0)</f>
        <v>0</v>
      </c>
      <c r="BX191" s="41" t="n">
        <f aca="false">IF(AND(Tasks[[#This Row],[Task Name]]&lt;&gt;"",NOT(Tasks[[#This Row],[_IsSummary]])),1,0)</f>
        <v>0</v>
      </c>
      <c r="BY191" s="41" t="n">
        <f aca="false">IF(N(Tasks[[#This Row],[Pred1 UID]])=0,0,IFERROR(MATCH(Tasks[[#This Row],[Pred1 UID]],Tasks[UID],0),-1))</f>
        <v>0</v>
      </c>
      <c r="BZ191" s="41" t="n">
        <f aca="false">IF(N(Tasks[[#This Row],[Pred2 UID]])=0,0,IFERROR(MATCH(Tasks[[#This Row],[Pred2 UID]],Tasks[UID],0),-1))</f>
        <v>0</v>
      </c>
      <c r="CA191" s="41" t="n">
        <f aca="false">IF(N(Tasks[[#This Row],[Pred3 UID]])=0,0,IFERROR(MATCH(Tasks[[#This Row],[Pred3 UID]],Tasks[UID],0),-1))</f>
        <v>0</v>
      </c>
      <c r="CB191" s="41" t="n">
        <f aca="false">IF(N(Tasks[[#This Row],[Pred4 UID]])=0,0,IFERROR(MATCH(Tasks[[#This Row],[Pred4 UID]],Tasks[UID],0),-1))</f>
        <v>0</v>
      </c>
      <c r="CC1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1" s="101" t="n">
        <f aca="false">IF(OR(Tasks[[#This Row],[_ConstraintCode]]=2,Tasks[[#This Row],[_ConstraintCode]]=3,Tasks[[#This Row],[_ConstraintCode]]=4,Tasks[[#This Row],[_ConstraintCode]]=6),Tasks[[#This Row],[_ConstraintStart]],0)</f>
        <v>0</v>
      </c>
      <c r="CF191" s="101" t="n">
        <f aca="false">IF(OR(Tasks[[#This Row],[_ConstraintCode]]=2,Tasks[[#This Row],[_ConstraintCode]]=3,Tasks[[#This Row],[_ConstraintCode]]=5,Tasks[[#This Row],[_ConstraintCode]]=7),Tasks[[#This Row],[_ConstraintStart]],2958465)</f>
        <v>2958465</v>
      </c>
      <c r="CG19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1" s="101" t="str">
        <f aca="false">IF(NOT(Tasks[[#This Row],[_IsLeaf]]=1),"",IF(N(Tasks[[#This Row],[Duration]])&lt;=0,Tasks[[#This Row],[_LeafCalcStart]],WORKDAY.INTL(Tasks[[#This Row],[_LeafCalcStart]],Tasks[[#This Row],[Duration]]-1,WorkWeek,Holidays)))</f>
        <v/>
      </c>
      <c r="CI19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1" s="41" t="n">
        <f aca="false">IF(NOT(Tasks[[#This Row],[_IsLeaf]]=1),0,IF(N(Tasks[[#This Row],[Actual Finish]])&gt;0,1,MIN(1,N(Tasks[[#This Row],[% Complete]]))))</f>
        <v>0</v>
      </c>
      <c r="CL191" s="41" t="n">
        <f aca="false">IF(OR(NOT(Tasks[[#This Row],[_IsLeaf]]=1),Tasks[[#This Row],[Resource]]=""),0,N(Tasks[[#This Row],[Duration]])*HoursPerDay*IF(Tasks[[#This Row],[Units]]="",DefaultUnits,Tasks[[#This Row],[Units]]))</f>
        <v>0</v>
      </c>
      <c r="CM191" s="41" t="n">
        <f aca="false">IF(Tasks[[#This Row],[_LeafWork]]=0,0,Tasks[[#This Row],[_LeafWork]]*IFERROR(INDEX(res_Rate,MATCH(Tasks[[#This Row],[Resource]],res_Name,0)),0))</f>
        <v>0</v>
      </c>
      <c r="CN191" s="41" t="n">
        <f aca="false">Tasks[[#This Row],[_LeafWork]]+IF(Tasks[[#This Row],[_IsLeaf]]=1,SUMIFS(asg_Work,asg_TaskUID,Tasks[[#This Row],[UID]],asg_Valid,1),0)</f>
        <v>0</v>
      </c>
      <c r="CO191" s="41" t="n">
        <f aca="false">Tasks[[#This Row],[_LeafCost]]+IF(Tasks[[#This Row],[_IsLeaf]]=1,SUMIFS(asg_Cost,asg_TaskUID,Tasks[[#This Row],[UID]],asg_Valid,1),0)</f>
        <v>0</v>
      </c>
      <c r="CP191" s="41" t="n">
        <f aca="false">IF(Tasks[[#This Row],[_LeafTotalCost]]=0,Tasks[[#This Row],[_LeafAC]],Tasks[[#This Row],[_LeafAC]]*Tasks[[#This Row],[_LeafCost]]/Tasks[[#This Row],[_LeafTotalCost]])</f>
        <v>0</v>
      </c>
      <c r="CQ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1" s="41" t="n">
        <f aca="false">IF(NOT(Tasks[[#This Row],[_IsLeaf]]=1),0,MAX(_xlfn.MAXIFS(Tasks[_Row],Tasks[Pred1 UID],Tasks[[#This Row],[UID]]),_xlfn.MAXIFS(Tasks[_Row],Tasks[Pred2 UID],Tasks[[#This Row],[UID]]),_xlfn.MAXIFS(Tasks[_Row],Tasks[Pred3 UID],Tasks[[#This Row],[UID]]),_xlfn.MAXIFS(Tasks[_Row],Tasks[Pred4 UID],Tasks[[#This Row],[UID]])))</f>
        <v>0</v>
      </c>
      <c r="CZ1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1" s="101" t="str">
        <f aca="false">IF(NOT(Tasks[[#This Row],[_IsLeaf]]=1),"",IF(N(Tasks[[#This Row],[Duration]])&lt;=0,Tasks[[#This Row],[_LeafLateFinish]],WORKDAY.INTL(Tasks[[#This Row],[_LeafLateFinish]],-(Tasks[[#This Row],[Duration]]-1),WorkWeek,Holidays)))</f>
        <v/>
      </c>
      <c r="DC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1" s="100" t="b">
        <f aca="false">AND(Tasks[[#This Row],[_IsLeaf]]=1,Tasks[[#This Row],[_LeafProgress]]&lt;1,N(Tasks[[#This Row],[_LeafTotalSlack]])&lt;=CriticalSlackDays)</f>
        <v>0</v>
      </c>
      <c r="DE191" s="41" t="n">
        <f aca="false">IF(AND(Tasks[[#This Row],[_IsLeaf]]=1,Tasks[[#This Row],[_ConstraintCode]]=1,Tasks[[#This Row],[Mode]]&lt;&gt;"Manual",N(Tasks[[#This Row],[Actual Start]])=0),MAX(0,N(Tasks[[#This Row],[Free Slack]])),0)</f>
        <v>0</v>
      </c>
      <c r="DF191" s="101" t="str">
        <f aca="false">IF(NOT(Tasks[[#This Row],[_IsLeaf]]=1),"",IF(Tasks[[#This Row],[_AlapShift]]=0,Tasks[[#This Row],[_LeafCalcStart]],WORKDAY.INTL(Tasks[[#This Row],[_LeafCalcStart]],Tasks[[#This Row],[_AlapShift]],WorkWeek,Holidays)))</f>
        <v/>
      </c>
      <c r="DG191" s="101" t="str">
        <f aca="false">IF(NOT(Tasks[[#This Row],[_IsLeaf]]=1),"",IF(Tasks[[#This Row],[_AlapShift]]=0,Tasks[[#This Row],[_LeafCalcFinish]],WORKDAY.INTL(Tasks[[#This Row],[_LeafCalcFinish]],Tasks[[#This Row],[_AlapShift]],WorkWeek,Holidays)))</f>
        <v/>
      </c>
      <c r="DH191" s="101" t="str">
        <f aca="false">IF(NOT(Tasks[[#This Row],[_IsLeaf]]=1),"",IF(Tasks[[#This Row],[_AlapShift]]=0,Tasks[[#This Row],[_LeafFcstStart]],WORKDAY.INTL(Tasks[[#This Row],[_LeafFcstStart]],Tasks[[#This Row],[_AlapShift]],WorkWeek,Holidays)))</f>
        <v/>
      </c>
      <c r="DI191" s="101" t="str">
        <f aca="false">IF(NOT(Tasks[[#This Row],[_IsLeaf]]=1),"",IF(Tasks[[#This Row],[_AlapShift]]=0,Tasks[[#This Row],[_LeafFcstFinish]],WORKDAY.INTL(Tasks[[#This Row],[_LeafFcstFinish]],Tasks[[#This Row],[_AlapShift]],WorkWeek,Holidays)))</f>
        <v/>
      </c>
      <c r="DJ191" s="101" t="str">
        <f aca="false">IF(Tasks[[#This Row],[Task Name]]="","",IF(Tasks[[#This Row],[_IsSummary]],MIN(INDEX(Tasks[_ShownCalcStart],Tasks[[#This Row],[_Row]]+1):INDEX(Tasks[_ShownCalcStart],Tasks[[#This Row],[_Row]]+Tasks[[#This Row],[_Descendants]])),Tasks[[#This Row],[_ShownCalcStart]]))</f>
        <v/>
      </c>
      <c r="DK191" s="101" t="str">
        <f aca="false">IF(Tasks[[#This Row],[Task Name]]="","",IF(Tasks[[#This Row],[_IsSummary]],MAX(INDEX(Tasks[_ShownCalcFinish],Tasks[[#This Row],[_Row]]+1):INDEX(Tasks[_ShownCalcFinish],Tasks[[#This Row],[_Row]]+Tasks[[#This Row],[_Descendants]])),Tasks[[#This Row],[_ShownCalcFinish]]))</f>
        <v/>
      </c>
      <c r="D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1" s="41" t="n">
        <f aca="false">IF(AND(Tasks[[#This Row],[_IsLeaf]]=1,Tasks[[#This Row],[_LeafTotalWork]]&gt;0),NETWORKDAYS.INTL(ProjectStart,Tasks[[#This Row],[_ShownFcstStart]],WorkWeek,Holidays),0)</f>
        <v>0</v>
      </c>
      <c r="DY191" s="41" t="n">
        <f aca="false">IF(AND(Tasks[[#This Row],[_IsLeaf]]=1,Tasks[[#This Row],[_LeafTotalWork]]&gt;0),MAX(Tasks[[#This Row],[_StartWorkday]],NETWORKDAYS.INTL(ProjectStart,Tasks[[#This Row],[_ShownFcstFinish]],WorkWeek,Holidays)),0)</f>
        <v>0</v>
      </c>
      <c r="DZ191" s="41" t="n">
        <f aca="false">IF(AND(Tasks[[#This Row],[_IsLeaf]]=1,Tasks[[#This Row],[_LeafTotalWork]]&gt;0),Tasks[[#This Row],[_LeafWork]]/(Tasks[[#This Row],[_FinishWorkday]]-Tasks[[#This Row],[_StartWorkday]]+1),0)</f>
        <v>0</v>
      </c>
      <c r="EA191" s="41" t="n">
        <f aca="false">Tasks[[#This Row],[_WorkPerWorkday]]*(Tasks[[#This Row],[_StartWorkday]]-1)</f>
        <v>-0</v>
      </c>
      <c r="EB191" s="41" t="n">
        <f aca="false">IF(Tasks[[#This Row],[_IsLeaf]]=1,MAX(N(Tasks[[#This Row],[Duration]]),0.1),0)</f>
        <v>0</v>
      </c>
      <c r="EC191" s="41" t="n">
        <f aca="false">Tasks[[#This Row],[_WeightDur]]*Tasks[[#This Row],[_LeafProgress]]</f>
        <v>0</v>
      </c>
      <c r="ED1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1" s="41" t="str">
        <f aca="false">IF(AND(Tasks[[#This Row],[_IsLeaf]]=1,N(Tasks[[#This Row],[Duration]])=0,Tasks[[#This Row],[_LeafProgress]]&lt;1),Tasks[[#This Row],[_ShownFcstFinish]]+Tasks[[#This Row],[_Row]]/100000,"")</f>
        <v/>
      </c>
      <c r="EF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1" s="41" t="n">
        <f aca="false">IF(NOT(Tasks[[#This Row],[_IsLeaf]]=1),0,IF(Tasks[[#This Row],[Baseline Cost]]="",Tasks[[#This Row],[_LeafTotalCost]],N(Tasks[[#This Row],[Baseline Cost]])))</f>
        <v>0</v>
      </c>
      <c r="EH191" s="41" t="n">
        <f aca="false">Tasks[[#This Row],[_LeafBudget]]*Tasks[[#This Row],[_PlannedPct]]</f>
        <v>0</v>
      </c>
      <c r="EI191" s="41" t="n">
        <f aca="false">Tasks[[#This Row],[_LeafBudget]]*Tasks[[#This Row],[_LeafProgress]]</f>
        <v>0</v>
      </c>
      <c r="EJ191" s="41" t="n">
        <f aca="false">IF(NOT(Tasks[[#This Row],[_IsLeaf]]=1),0,IF(Tasks[[#This Row],[Actual Cost]]="",Tasks[[#This Row],[_LeafTotalCost]]*Tasks[[#This Row],[_LeafProgress]],N(Tasks[[#This Row],[Actual Cost]])))</f>
        <v>0</v>
      </c>
      <c r="EK191" s="41" t="str">
        <f aca="false">IF(Tasks[[#This Row],[Task Name]]="","",LEFT(Tasks[[#This Row],[WBS]],FIND(".",Tasks[[#This Row],[WBS]]&amp;".")-1))</f>
        <v/>
      </c>
      <c r="EL191" s="41" t="str">
        <f aca="false">IF(AND(Tasks[[#This Row],[Task Name]]&lt;&gt;"",Tasks[[#This Row],[_Level]]=1),Tasks[[#This Row],[_Row]],"")</f>
        <v/>
      </c>
      <c r="EM191" s="41" t="str">
        <f aca="false">IF(AND(Tasks[[#This Row],[_IsLeaf]]=1,N(Tasks[[#This Row],[Duration]])=0),Tasks[[#This Row],[Planned Finish]]+Tasks[[#This Row],[_Row]]/100000,"")</f>
        <v/>
      </c>
      <c r="EN191" s="41" t="str">
        <f aca="false">IF(AND(Tasks[[#This Row],[_IsLeaf]]=1,Tasks[[#This Row],[_LeafProgress]]&lt;1,OR(N(Tasks[[#This Row],[Finish Var]])&gt;0,Tasks[[#This Row],[Status]]="Late Start")),MAX(0,Tasks[[#This Row],[Finish Var]])+1-Tasks[[#This Row],[_Row]]/1000000,"")</f>
        <v/>
      </c>
      <c r="EO191" s="41" t="str">
        <f aca="false">IF(AND(Tasks[[#This Row],[_IsLeaf]]=1,N(Tasks[[#This Row],[Actual Start]])=0,Tasks[[#This Row],[_ShownFcstStart]]&gt;=StatusDate,Tasks[[#This Row],[_ShownFcstStart]]&lt;=LookaheadEnd),Tasks[[#This Row],[_ShownFcstStart]]+Tasks[[#This Row],[_Row]]/100000,"")</f>
        <v/>
      </c>
      <c r="EP191" s="41" t="str">
        <f aca="false">IF(AND(Tasks[[#This Row],[_IsLeaf]]=1,Tasks[[#This Row],[_LeafProgress]]&lt;1,Tasks[[#This Row],[_ShownFcstFinish]]&gt;=StatusDate,Tasks[[#This Row],[_ShownFcstFinish]]&lt;=LookaheadEnd),Tasks[[#This Row],[_ShownFcstFinish]]+Tasks[[#This Row],[_Row]]/100000,"")</f>
        <v/>
      </c>
      <c r="EQ191" s="41" t="str">
        <f aca="false">IF(Tasks[[#This Row],[_LeafCritical]],Tasks[[#This Row],[_ShownFcstStart]]+Tasks[[#This Row],[_Row]]/100000,"")</f>
        <v/>
      </c>
      <c r="ER191" s="41" t="n">
        <f aca="false">Tasks[[#This Row],[_LeafWork]]*Tasks[[#This Row],[_LeafProgress]]</f>
        <v>0</v>
      </c>
      <c r="ES191" s="101" t="str">
        <f aca="false">IF(AND(Tasks[[#This Row],[_IsLeaf]]=1,Tasks[[#This Row],[_LeafProgress]]&gt;=1),IF(N(Tasks[[#This Row],[Actual Finish]])&gt;0,Tasks[[#This Row],[Actual Finish]],Tasks[[#This Row],[_ShownFcstFinish]]),"")</f>
        <v/>
      </c>
      <c r="ET191" s="41" t="n">
        <f aca="false">IF(Tasks[[#This Row],[_IsLeaf]]=1,N(Tasks[[#This Row],[Story Points]]),0)</f>
        <v>0</v>
      </c>
      <c r="EU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29"/>
      <c r="O192" s="29"/>
      <c r="P192" s="29"/>
      <c r="Q192" s="29"/>
      <c r="R192" s="29"/>
      <c r="S192" s="29"/>
      <c r="T192" s="30"/>
      <c r="U192" s="75"/>
      <c r="V192" s="75"/>
      <c r="W192" s="25" t="str">
        <f aca="false">IF(Tasks[[#This Row],[Task Name]]="","",IF(N(Tasks[[#This Row],[Baseline Start]])&gt;0,Tasks[[#This Row],[Baseline Start]],Tasks[[#This Row],[_CalcStart]]))</f>
        <v/>
      </c>
      <c r="X192" s="25" t="str">
        <f aca="false">IF(Tasks[[#This Row],[Task Name]]="","",IF(N(Tasks[[#This Row],[Baseline Finish]])&gt;0,Tasks[[#This Row],[Baseline Finish]],Tasks[[#This Row],[_CalcFinish]]))</f>
        <v/>
      </c>
      <c r="Y192" s="75"/>
      <c r="Z192" s="75"/>
      <c r="AA192" s="25" t="str">
        <f aca="false">IF(Tasks[[#This Row],[Task Name]]="","",IF(Tasks[[#This Row],[_IsSummary]],MIN(INDEX(Tasks[_ShownFcstStart],Tasks[[#This Row],[_Row]]+1):INDEX(Tasks[_ShownFcstStart],Tasks[[#This Row],[_Row]]+Tasks[[#This Row],[_Descendants]])),Tasks[[#This Row],[_ShownFcstStart]]))</f>
        <v/>
      </c>
      <c r="AB192" s="25" t="str">
        <f aca="false">IF(Tasks[[#This Row],[Task Name]]="","",IF(Tasks[[#This Row],[_IsSummary]],MAX(INDEX(Tasks[_ShownFcstFinish],Tasks[[#This Row],[_Row]]+1):INDEX(Tasks[_ShownFcstFinish],Tasks[[#This Row],[_Row]]+Tasks[[#This Row],[_Descendants]])),Tasks[[#This Row],[_ShownFcstFinish]]))</f>
        <v/>
      </c>
      <c r="AC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2" s="25" t="str">
        <f aca="false">IF(Tasks[[#This Row],[Task Name]]="","",IF(Tasks[[#This Row],[_IsSummary]],MIN(INDEX(Tasks[_LeafLateStart],Tasks[[#This Row],[_Row]]+1):INDEX(Tasks[_LeafLateStart],Tasks[[#This Row],[_Row]]+Tasks[[#This Row],[_Descendants]])),Tasks[[#This Row],[_LeafLateStart]]))</f>
        <v/>
      </c>
      <c r="AF192" s="25" t="str">
        <f aca="false">IF(Tasks[[#This Row],[Task Name]]="","",IF(Tasks[[#This Row],[_IsSummary]],MAX(INDEX(Tasks[_LeafLateFinish],Tasks[[#This Row],[_Row]]+1):INDEX(Tasks[_LeafLateFinish],Tasks[[#This Row],[_Row]]+Tasks[[#This Row],[_Descendants]])),Tasks[[#This Row],[_LeafLateFinish]]))</f>
        <v/>
      </c>
      <c r="AG192" s="28" t="str">
        <f aca="false">IF(Tasks[[#This Row],[Task Name]]="","",IF(Tasks[[#This Row],[_IsSummary]],MIN(INDEX(Tasks[_LeafTotalSlack],Tasks[[#This Row],[_Row]]+1):INDEX(Tasks[_LeafTotalSlack],Tasks[[#This Row],[_Row]]+Tasks[[#This Row],[_Descendants]])),Tasks[[#This Row],[_LeafTotalSlack]]))</f>
        <v/>
      </c>
      <c r="AH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2" s="28" t="str">
        <f aca="false">IF(Tasks[[#This Row],[Task Name]]="","",IF(IF(Tasks[[#This Row],[_IsSummary]],COUNTIF(INDEX(Tasks[_LeafCritical],Tasks[[#This Row],[_Row]]+1):INDEX(Tasks[_LeafCritical],Tasks[[#This Row],[_Row]]+Tasks[[#This Row],[_Descendants]]),TRUE())&gt;0,Tasks[[#This Row],[_LeafCritical]]),"Yes",""))</f>
        <v/>
      </c>
      <c r="AJ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2" s="89"/>
      <c r="AM1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2" s="28" t="str">
        <f aca="false">IF(Tasks[[#This Row],[Task Name]]="","",IF(Tasks[[#This Row],[Progress]]&gt;=1,"Complete",IF(OR(N(Tasks[[#This Row],[Actual Start]])&gt;0,Tasks[[#This Row],[Progress]]&gt;0),IF(Tasks[[#This Row],[Finish Var]]&gt;0,"Behind","In Progress"),IF(Tasks[[#This Row],[Planned Start]]&lt;StatusDate,"Late Start","Not Started"))))</f>
        <v/>
      </c>
      <c r="AO192" s="30"/>
      <c r="AP192" s="89"/>
      <c r="AQ1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2" s="96" t="str">
        <f aca="false">IF(Tasks[[#This Row],[Task Name]]="","",IF(Tasks[[#This Row],[_IsSummary]],SUM(INDEX(Tasks[_LeafTotalWork],Tasks[[#This Row],[_Row]]+1):INDEX(Tasks[_LeafTotalWork],Tasks[[#This Row],[_Row]]+Tasks[[#This Row],[_Descendants]])),Tasks[[#This Row],[_LeafTotalWork]]))</f>
        <v/>
      </c>
      <c r="AT192" s="97" t="str">
        <f aca="false">IF(Tasks[[#This Row],[Task Name]]="","",IF(Tasks[[#This Row],[_IsSummary]],SUM(INDEX(Tasks[_LeafTotalCost],Tasks[[#This Row],[_Row]]+1):INDEX(Tasks[_LeafTotalCost],Tasks[[#This Row],[_Row]]+Tasks[[#This Row],[_Descendants]])),Tasks[[#This Row],[_LeafTotalCost]]))</f>
        <v/>
      </c>
      <c r="AU192" s="98"/>
      <c r="AV192" s="29"/>
      <c r="AW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2" s="83"/>
      <c r="AY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2" s="30"/>
      <c r="BA192" s="25" t="str">
        <f aca="false">IF(Tasks[[#This Row],[Task Name]]="","",Tasks[[#This Row],[Forecast Start]])</f>
        <v/>
      </c>
      <c r="BB192" s="25" t="str">
        <f aca="false">IF(Tasks[[#This Row],[Task Name]]="","",Tasks[[#This Row],[Forecast Finish]])</f>
        <v/>
      </c>
      <c r="BC192" s="28" t="str">
        <f aca="false">IF(Tasks[[#This Row],[Task Name]]="","",IF(Tasks[[#This Row],[_IsSummary]],NETWORKDAYS.INTL(Tasks[[#This Row],[Forecast Start]],Tasks[[#This Row],[Forecast Finish]],WorkWeek,Holidays),N(Tasks[[#This Row],[Duration]])))</f>
        <v/>
      </c>
      <c r="BD192" s="96" t="str">
        <f aca="false">IF(Tasks[[#This Row],[Task Name]]="","",Tasks[[#This Row],[Work]])</f>
        <v/>
      </c>
      <c r="BE192" s="97" t="str">
        <f aca="false">IF(Tasks[[#This Row],[Task Name]]="","",Tasks[[#This Row],[Cost]])</f>
        <v/>
      </c>
      <c r="BF192" s="75"/>
      <c r="BG192" s="75"/>
      <c r="BH192" s="29"/>
      <c r="BI192" s="99"/>
      <c r="BJ192" s="98"/>
      <c r="BK192" s="28" t="str">
        <f aca="false">IF(OR(Tasks[[#This Row],[Task Name]]="",Tasks[[#This Row],[Baseline Duration]]=""),"",Tasks[[#This Row],[BL Source Duration]]-N(Tasks[[#This Row],[Baseline Duration]]))</f>
        <v/>
      </c>
      <c r="BL192" s="96" t="str">
        <f aca="false">IF(OR(Tasks[[#This Row],[Task Name]]="",Tasks[[#This Row],[Baseline Work]]=""),"",Tasks[[#This Row],[Work]]-N(Tasks[[#This Row],[Baseline Work]]))</f>
        <v/>
      </c>
      <c r="BM192" s="97" t="str">
        <f aca="false">IF(OR(Tasks[[#This Row],[Task Name]]="",Tasks[[#This Row],[Baseline Cost]]=""),"",Tasks[[#This Row],[Cost]]-N(Tasks[[#This Row],[Baseline Cost]]))</f>
        <v/>
      </c>
      <c r="BN192" s="97" t="str">
        <f aca="false">IF(Tasks[[#This Row],[Task Name]]="","",IF(Tasks[[#This Row],[_IsSummary]],SUM(INDEX(Tasks[_LeafBudget],Tasks[[#This Row],[_Row]]+1):INDEX(Tasks[_LeafBudget],Tasks[[#This Row],[_Row]]+Tasks[[#This Row],[_Descendants]])),Tasks[[#This Row],[_LeafBudget]]))</f>
        <v/>
      </c>
      <c r="BO192" s="97" t="str">
        <f aca="false">IF(Tasks[[#This Row],[Task Name]]="","",IF(Tasks[[#This Row],[_IsSummary]],SUM(INDEX(Tasks[_LeafPV],Tasks[[#This Row],[_Row]]+1):INDEX(Tasks[_LeafPV],Tasks[[#This Row],[_Row]]+Tasks[[#This Row],[_Descendants]])),Tasks[[#This Row],[_LeafPV]]))</f>
        <v/>
      </c>
      <c r="BP192" s="97" t="str">
        <f aca="false">IF(Tasks[[#This Row],[Task Name]]="","",IF(Tasks[[#This Row],[_IsSummary]],SUM(INDEX(Tasks[_LeafEV],Tasks[[#This Row],[_Row]]+1):INDEX(Tasks[_LeafEV],Tasks[[#This Row],[_Row]]+Tasks[[#This Row],[_Descendants]])),Tasks[[#This Row],[_LeafEV]]))</f>
        <v/>
      </c>
      <c r="BQ192" s="97" t="str">
        <f aca="false">IF(Tasks[[#This Row],[Task Name]]="","",IF(Tasks[[#This Row],[_IsSummary]],SUM(INDEX(Tasks[_LeafAC],Tasks[[#This Row],[_Row]]+1):INDEX(Tasks[_LeafAC],Tasks[[#This Row],[_Row]]+Tasks[[#This Row],[_Descendants]])),Tasks[[#This Row],[_LeafAC]]))</f>
        <v/>
      </c>
      <c r="BR192" s="41" t="str">
        <f aca="false">IF(Tasks[[#This Row],[Task Name]]="","",MAX(1,N(Tasks[[#This Row],[Level]])))</f>
        <v/>
      </c>
      <c r="BS192" s="41" t="n">
        <f aca="false">ROW()-ROW(Tasks[[#Headers],[ID]])</f>
        <v>187</v>
      </c>
      <c r="BT192" s="41" t="n">
        <f aca="false">IF(OR(Tasks[[#This Row],[Task Name]]="",Tasks[[#This Row],[_Level]]&lt;=1),0,IFERROR(LOOKUP(2,1/(Tasks[[#Headers],[_Level]]:Tasks[[#This Row],[_Level]]=Tasks[[#This Row],[_Level]]-1),ROW(Tasks[[#Headers],[_Level]]:Tasks[[#This Row],[_Level]])),0))</f>
        <v>0</v>
      </c>
      <c r="BU192" s="41" t="n">
        <f aca="false">IFERROR(N(INDEX(Tasks[_Level],Tasks[[#This Row],[_Row]]+1)),0)</f>
        <v>0</v>
      </c>
      <c r="BV192" s="100" t="b">
        <f aca="false">AND(Tasks[[#This Row],[Task Name]]&lt;&gt;"",Tasks[[#This Row],[_NextLevel]]&gt;Tasks[[#This Row],[_Level]])</f>
        <v>0</v>
      </c>
      <c r="BW192" s="41" t="n">
        <f aca="false">IF(Tasks[[#This Row],[_IsSummary]],COUNTIF(Tasks[WBS],Tasks[[#This Row],[WBS]]&amp;".*"),0)</f>
        <v>0</v>
      </c>
      <c r="BX192" s="41" t="n">
        <f aca="false">IF(AND(Tasks[[#This Row],[Task Name]]&lt;&gt;"",NOT(Tasks[[#This Row],[_IsSummary]])),1,0)</f>
        <v>0</v>
      </c>
      <c r="BY192" s="41" t="n">
        <f aca="false">IF(N(Tasks[[#This Row],[Pred1 UID]])=0,0,IFERROR(MATCH(Tasks[[#This Row],[Pred1 UID]],Tasks[UID],0),-1))</f>
        <v>0</v>
      </c>
      <c r="BZ192" s="41" t="n">
        <f aca="false">IF(N(Tasks[[#This Row],[Pred2 UID]])=0,0,IFERROR(MATCH(Tasks[[#This Row],[Pred2 UID]],Tasks[UID],0),-1))</f>
        <v>0</v>
      </c>
      <c r="CA192" s="41" t="n">
        <f aca="false">IF(N(Tasks[[#This Row],[Pred3 UID]])=0,0,IFERROR(MATCH(Tasks[[#This Row],[Pred3 UID]],Tasks[UID],0),-1))</f>
        <v>0</v>
      </c>
      <c r="CB192" s="41" t="n">
        <f aca="false">IF(N(Tasks[[#This Row],[Pred4 UID]])=0,0,IFERROR(MATCH(Tasks[[#This Row],[Pred4 UID]],Tasks[UID],0),-1))</f>
        <v>0</v>
      </c>
      <c r="CC1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2" s="101" t="n">
        <f aca="false">IF(OR(Tasks[[#This Row],[_ConstraintCode]]=2,Tasks[[#This Row],[_ConstraintCode]]=3,Tasks[[#This Row],[_ConstraintCode]]=4,Tasks[[#This Row],[_ConstraintCode]]=6),Tasks[[#This Row],[_ConstraintStart]],0)</f>
        <v>0</v>
      </c>
      <c r="CF192" s="101" t="n">
        <f aca="false">IF(OR(Tasks[[#This Row],[_ConstraintCode]]=2,Tasks[[#This Row],[_ConstraintCode]]=3,Tasks[[#This Row],[_ConstraintCode]]=5,Tasks[[#This Row],[_ConstraintCode]]=7),Tasks[[#This Row],[_ConstraintStart]],2958465)</f>
        <v>2958465</v>
      </c>
      <c r="CG19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2" s="101" t="str">
        <f aca="false">IF(NOT(Tasks[[#This Row],[_IsLeaf]]=1),"",IF(N(Tasks[[#This Row],[Duration]])&lt;=0,Tasks[[#This Row],[_LeafCalcStart]],WORKDAY.INTL(Tasks[[#This Row],[_LeafCalcStart]],Tasks[[#This Row],[Duration]]-1,WorkWeek,Holidays)))</f>
        <v/>
      </c>
      <c r="CI19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2" s="41" t="n">
        <f aca="false">IF(NOT(Tasks[[#This Row],[_IsLeaf]]=1),0,IF(N(Tasks[[#This Row],[Actual Finish]])&gt;0,1,MIN(1,N(Tasks[[#This Row],[% Complete]]))))</f>
        <v>0</v>
      </c>
      <c r="CL192" s="41" t="n">
        <f aca="false">IF(OR(NOT(Tasks[[#This Row],[_IsLeaf]]=1),Tasks[[#This Row],[Resource]]=""),0,N(Tasks[[#This Row],[Duration]])*HoursPerDay*IF(Tasks[[#This Row],[Units]]="",DefaultUnits,Tasks[[#This Row],[Units]]))</f>
        <v>0</v>
      </c>
      <c r="CM192" s="41" t="n">
        <f aca="false">IF(Tasks[[#This Row],[_LeafWork]]=0,0,Tasks[[#This Row],[_LeafWork]]*IFERROR(INDEX(res_Rate,MATCH(Tasks[[#This Row],[Resource]],res_Name,0)),0))</f>
        <v>0</v>
      </c>
      <c r="CN192" s="41" t="n">
        <f aca="false">Tasks[[#This Row],[_LeafWork]]+IF(Tasks[[#This Row],[_IsLeaf]]=1,SUMIFS(asg_Work,asg_TaskUID,Tasks[[#This Row],[UID]],asg_Valid,1),0)</f>
        <v>0</v>
      </c>
      <c r="CO192" s="41" t="n">
        <f aca="false">Tasks[[#This Row],[_LeafCost]]+IF(Tasks[[#This Row],[_IsLeaf]]=1,SUMIFS(asg_Cost,asg_TaskUID,Tasks[[#This Row],[UID]],asg_Valid,1),0)</f>
        <v>0</v>
      </c>
      <c r="CP192" s="41" t="n">
        <f aca="false">IF(Tasks[[#This Row],[_LeafTotalCost]]=0,Tasks[[#This Row],[_LeafAC]],Tasks[[#This Row],[_LeafAC]]*Tasks[[#This Row],[_LeafCost]]/Tasks[[#This Row],[_LeafTotalCost]])</f>
        <v>0</v>
      </c>
      <c r="CQ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2" s="41" t="n">
        <f aca="false">IF(NOT(Tasks[[#This Row],[_IsLeaf]]=1),0,MAX(_xlfn.MAXIFS(Tasks[_Row],Tasks[Pred1 UID],Tasks[[#This Row],[UID]]),_xlfn.MAXIFS(Tasks[_Row],Tasks[Pred2 UID],Tasks[[#This Row],[UID]]),_xlfn.MAXIFS(Tasks[_Row],Tasks[Pred3 UID],Tasks[[#This Row],[UID]]),_xlfn.MAXIFS(Tasks[_Row],Tasks[Pred4 UID],Tasks[[#This Row],[UID]])))</f>
        <v>0</v>
      </c>
      <c r="CZ1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2" s="101" t="str">
        <f aca="false">IF(NOT(Tasks[[#This Row],[_IsLeaf]]=1),"",IF(N(Tasks[[#This Row],[Duration]])&lt;=0,Tasks[[#This Row],[_LeafLateFinish]],WORKDAY.INTL(Tasks[[#This Row],[_LeafLateFinish]],-(Tasks[[#This Row],[Duration]]-1),WorkWeek,Holidays)))</f>
        <v/>
      </c>
      <c r="DC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2" s="100" t="b">
        <f aca="false">AND(Tasks[[#This Row],[_IsLeaf]]=1,Tasks[[#This Row],[_LeafProgress]]&lt;1,N(Tasks[[#This Row],[_LeafTotalSlack]])&lt;=CriticalSlackDays)</f>
        <v>0</v>
      </c>
      <c r="DE192" s="41" t="n">
        <f aca="false">IF(AND(Tasks[[#This Row],[_IsLeaf]]=1,Tasks[[#This Row],[_ConstraintCode]]=1,Tasks[[#This Row],[Mode]]&lt;&gt;"Manual",N(Tasks[[#This Row],[Actual Start]])=0),MAX(0,N(Tasks[[#This Row],[Free Slack]])),0)</f>
        <v>0</v>
      </c>
      <c r="DF192" s="101" t="str">
        <f aca="false">IF(NOT(Tasks[[#This Row],[_IsLeaf]]=1),"",IF(Tasks[[#This Row],[_AlapShift]]=0,Tasks[[#This Row],[_LeafCalcStart]],WORKDAY.INTL(Tasks[[#This Row],[_LeafCalcStart]],Tasks[[#This Row],[_AlapShift]],WorkWeek,Holidays)))</f>
        <v/>
      </c>
      <c r="DG192" s="101" t="str">
        <f aca="false">IF(NOT(Tasks[[#This Row],[_IsLeaf]]=1),"",IF(Tasks[[#This Row],[_AlapShift]]=0,Tasks[[#This Row],[_LeafCalcFinish]],WORKDAY.INTL(Tasks[[#This Row],[_LeafCalcFinish]],Tasks[[#This Row],[_AlapShift]],WorkWeek,Holidays)))</f>
        <v/>
      </c>
      <c r="DH192" s="101" t="str">
        <f aca="false">IF(NOT(Tasks[[#This Row],[_IsLeaf]]=1),"",IF(Tasks[[#This Row],[_AlapShift]]=0,Tasks[[#This Row],[_LeafFcstStart]],WORKDAY.INTL(Tasks[[#This Row],[_LeafFcstStart]],Tasks[[#This Row],[_AlapShift]],WorkWeek,Holidays)))</f>
        <v/>
      </c>
      <c r="DI192" s="101" t="str">
        <f aca="false">IF(NOT(Tasks[[#This Row],[_IsLeaf]]=1),"",IF(Tasks[[#This Row],[_AlapShift]]=0,Tasks[[#This Row],[_LeafFcstFinish]],WORKDAY.INTL(Tasks[[#This Row],[_LeafFcstFinish]],Tasks[[#This Row],[_AlapShift]],WorkWeek,Holidays)))</f>
        <v/>
      </c>
      <c r="DJ192" s="101" t="str">
        <f aca="false">IF(Tasks[[#This Row],[Task Name]]="","",IF(Tasks[[#This Row],[_IsSummary]],MIN(INDEX(Tasks[_ShownCalcStart],Tasks[[#This Row],[_Row]]+1):INDEX(Tasks[_ShownCalcStart],Tasks[[#This Row],[_Row]]+Tasks[[#This Row],[_Descendants]])),Tasks[[#This Row],[_ShownCalcStart]]))</f>
        <v/>
      </c>
      <c r="DK192" s="101" t="str">
        <f aca="false">IF(Tasks[[#This Row],[Task Name]]="","",IF(Tasks[[#This Row],[_IsSummary]],MAX(INDEX(Tasks[_ShownCalcFinish],Tasks[[#This Row],[_Row]]+1):INDEX(Tasks[_ShownCalcFinish],Tasks[[#This Row],[_Row]]+Tasks[[#This Row],[_Descendants]])),Tasks[[#This Row],[_ShownCalcFinish]]))</f>
        <v/>
      </c>
      <c r="D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2" s="41" t="n">
        <f aca="false">IF(AND(Tasks[[#This Row],[_IsLeaf]]=1,Tasks[[#This Row],[_LeafTotalWork]]&gt;0),NETWORKDAYS.INTL(ProjectStart,Tasks[[#This Row],[_ShownFcstStart]],WorkWeek,Holidays),0)</f>
        <v>0</v>
      </c>
      <c r="DY192" s="41" t="n">
        <f aca="false">IF(AND(Tasks[[#This Row],[_IsLeaf]]=1,Tasks[[#This Row],[_LeafTotalWork]]&gt;0),MAX(Tasks[[#This Row],[_StartWorkday]],NETWORKDAYS.INTL(ProjectStart,Tasks[[#This Row],[_ShownFcstFinish]],WorkWeek,Holidays)),0)</f>
        <v>0</v>
      </c>
      <c r="DZ192" s="41" t="n">
        <f aca="false">IF(AND(Tasks[[#This Row],[_IsLeaf]]=1,Tasks[[#This Row],[_LeafTotalWork]]&gt;0),Tasks[[#This Row],[_LeafWork]]/(Tasks[[#This Row],[_FinishWorkday]]-Tasks[[#This Row],[_StartWorkday]]+1),0)</f>
        <v>0</v>
      </c>
      <c r="EA192" s="41" t="n">
        <f aca="false">Tasks[[#This Row],[_WorkPerWorkday]]*(Tasks[[#This Row],[_StartWorkday]]-1)</f>
        <v>-0</v>
      </c>
      <c r="EB192" s="41" t="n">
        <f aca="false">IF(Tasks[[#This Row],[_IsLeaf]]=1,MAX(N(Tasks[[#This Row],[Duration]]),0.1),0)</f>
        <v>0</v>
      </c>
      <c r="EC192" s="41" t="n">
        <f aca="false">Tasks[[#This Row],[_WeightDur]]*Tasks[[#This Row],[_LeafProgress]]</f>
        <v>0</v>
      </c>
      <c r="ED1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2" s="41" t="str">
        <f aca="false">IF(AND(Tasks[[#This Row],[_IsLeaf]]=1,N(Tasks[[#This Row],[Duration]])=0,Tasks[[#This Row],[_LeafProgress]]&lt;1),Tasks[[#This Row],[_ShownFcstFinish]]+Tasks[[#This Row],[_Row]]/100000,"")</f>
        <v/>
      </c>
      <c r="EF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2" s="41" t="n">
        <f aca="false">IF(NOT(Tasks[[#This Row],[_IsLeaf]]=1),0,IF(Tasks[[#This Row],[Baseline Cost]]="",Tasks[[#This Row],[_LeafTotalCost]],N(Tasks[[#This Row],[Baseline Cost]])))</f>
        <v>0</v>
      </c>
      <c r="EH192" s="41" t="n">
        <f aca="false">Tasks[[#This Row],[_LeafBudget]]*Tasks[[#This Row],[_PlannedPct]]</f>
        <v>0</v>
      </c>
      <c r="EI192" s="41" t="n">
        <f aca="false">Tasks[[#This Row],[_LeafBudget]]*Tasks[[#This Row],[_LeafProgress]]</f>
        <v>0</v>
      </c>
      <c r="EJ192" s="41" t="n">
        <f aca="false">IF(NOT(Tasks[[#This Row],[_IsLeaf]]=1),0,IF(Tasks[[#This Row],[Actual Cost]]="",Tasks[[#This Row],[_LeafTotalCost]]*Tasks[[#This Row],[_LeafProgress]],N(Tasks[[#This Row],[Actual Cost]])))</f>
        <v>0</v>
      </c>
      <c r="EK192" s="41" t="str">
        <f aca="false">IF(Tasks[[#This Row],[Task Name]]="","",LEFT(Tasks[[#This Row],[WBS]],FIND(".",Tasks[[#This Row],[WBS]]&amp;".")-1))</f>
        <v/>
      </c>
      <c r="EL192" s="41" t="str">
        <f aca="false">IF(AND(Tasks[[#This Row],[Task Name]]&lt;&gt;"",Tasks[[#This Row],[_Level]]=1),Tasks[[#This Row],[_Row]],"")</f>
        <v/>
      </c>
      <c r="EM192" s="41" t="str">
        <f aca="false">IF(AND(Tasks[[#This Row],[_IsLeaf]]=1,N(Tasks[[#This Row],[Duration]])=0),Tasks[[#This Row],[Planned Finish]]+Tasks[[#This Row],[_Row]]/100000,"")</f>
        <v/>
      </c>
      <c r="EN192" s="41" t="str">
        <f aca="false">IF(AND(Tasks[[#This Row],[_IsLeaf]]=1,Tasks[[#This Row],[_LeafProgress]]&lt;1,OR(N(Tasks[[#This Row],[Finish Var]])&gt;0,Tasks[[#This Row],[Status]]="Late Start")),MAX(0,Tasks[[#This Row],[Finish Var]])+1-Tasks[[#This Row],[_Row]]/1000000,"")</f>
        <v/>
      </c>
      <c r="EO192" s="41" t="str">
        <f aca="false">IF(AND(Tasks[[#This Row],[_IsLeaf]]=1,N(Tasks[[#This Row],[Actual Start]])=0,Tasks[[#This Row],[_ShownFcstStart]]&gt;=StatusDate,Tasks[[#This Row],[_ShownFcstStart]]&lt;=LookaheadEnd),Tasks[[#This Row],[_ShownFcstStart]]+Tasks[[#This Row],[_Row]]/100000,"")</f>
        <v/>
      </c>
      <c r="EP192" s="41" t="str">
        <f aca="false">IF(AND(Tasks[[#This Row],[_IsLeaf]]=1,Tasks[[#This Row],[_LeafProgress]]&lt;1,Tasks[[#This Row],[_ShownFcstFinish]]&gt;=StatusDate,Tasks[[#This Row],[_ShownFcstFinish]]&lt;=LookaheadEnd),Tasks[[#This Row],[_ShownFcstFinish]]+Tasks[[#This Row],[_Row]]/100000,"")</f>
        <v/>
      </c>
      <c r="EQ192" s="41" t="str">
        <f aca="false">IF(Tasks[[#This Row],[_LeafCritical]],Tasks[[#This Row],[_ShownFcstStart]]+Tasks[[#This Row],[_Row]]/100000,"")</f>
        <v/>
      </c>
      <c r="ER192" s="41" t="n">
        <f aca="false">Tasks[[#This Row],[_LeafWork]]*Tasks[[#This Row],[_LeafProgress]]</f>
        <v>0</v>
      </c>
      <c r="ES192" s="101" t="str">
        <f aca="false">IF(AND(Tasks[[#This Row],[_IsLeaf]]=1,Tasks[[#This Row],[_LeafProgress]]&gt;=1),IF(N(Tasks[[#This Row],[Actual Finish]])&gt;0,Tasks[[#This Row],[Actual Finish]],Tasks[[#This Row],[_ShownFcstFinish]]),"")</f>
        <v/>
      </c>
      <c r="ET192" s="41" t="n">
        <f aca="false">IF(Tasks[[#This Row],[_IsLeaf]]=1,N(Tasks[[#This Row],[Story Points]]),0)</f>
        <v>0</v>
      </c>
      <c r="EU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29"/>
      <c r="O193" s="29"/>
      <c r="P193" s="29"/>
      <c r="Q193" s="29"/>
      <c r="R193" s="29"/>
      <c r="S193" s="29"/>
      <c r="T193" s="30"/>
      <c r="U193" s="75"/>
      <c r="V193" s="75"/>
      <c r="W193" s="25" t="str">
        <f aca="false">IF(Tasks[[#This Row],[Task Name]]="","",IF(N(Tasks[[#This Row],[Baseline Start]])&gt;0,Tasks[[#This Row],[Baseline Start]],Tasks[[#This Row],[_CalcStart]]))</f>
        <v/>
      </c>
      <c r="X193" s="25" t="str">
        <f aca="false">IF(Tasks[[#This Row],[Task Name]]="","",IF(N(Tasks[[#This Row],[Baseline Finish]])&gt;0,Tasks[[#This Row],[Baseline Finish]],Tasks[[#This Row],[_CalcFinish]]))</f>
        <v/>
      </c>
      <c r="Y193" s="75"/>
      <c r="Z193" s="75"/>
      <c r="AA193" s="25" t="str">
        <f aca="false">IF(Tasks[[#This Row],[Task Name]]="","",IF(Tasks[[#This Row],[_IsSummary]],MIN(INDEX(Tasks[_ShownFcstStart],Tasks[[#This Row],[_Row]]+1):INDEX(Tasks[_ShownFcstStart],Tasks[[#This Row],[_Row]]+Tasks[[#This Row],[_Descendants]])),Tasks[[#This Row],[_ShownFcstStart]]))</f>
        <v/>
      </c>
      <c r="AB193" s="25" t="str">
        <f aca="false">IF(Tasks[[#This Row],[Task Name]]="","",IF(Tasks[[#This Row],[_IsSummary]],MAX(INDEX(Tasks[_ShownFcstFinish],Tasks[[#This Row],[_Row]]+1):INDEX(Tasks[_ShownFcstFinish],Tasks[[#This Row],[_Row]]+Tasks[[#This Row],[_Descendants]])),Tasks[[#This Row],[_ShownFcstFinish]]))</f>
        <v/>
      </c>
      <c r="AC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3" s="25" t="str">
        <f aca="false">IF(Tasks[[#This Row],[Task Name]]="","",IF(Tasks[[#This Row],[_IsSummary]],MIN(INDEX(Tasks[_LeafLateStart],Tasks[[#This Row],[_Row]]+1):INDEX(Tasks[_LeafLateStart],Tasks[[#This Row],[_Row]]+Tasks[[#This Row],[_Descendants]])),Tasks[[#This Row],[_LeafLateStart]]))</f>
        <v/>
      </c>
      <c r="AF193" s="25" t="str">
        <f aca="false">IF(Tasks[[#This Row],[Task Name]]="","",IF(Tasks[[#This Row],[_IsSummary]],MAX(INDEX(Tasks[_LeafLateFinish],Tasks[[#This Row],[_Row]]+1):INDEX(Tasks[_LeafLateFinish],Tasks[[#This Row],[_Row]]+Tasks[[#This Row],[_Descendants]])),Tasks[[#This Row],[_LeafLateFinish]]))</f>
        <v/>
      </c>
      <c r="AG193" s="28" t="str">
        <f aca="false">IF(Tasks[[#This Row],[Task Name]]="","",IF(Tasks[[#This Row],[_IsSummary]],MIN(INDEX(Tasks[_LeafTotalSlack],Tasks[[#This Row],[_Row]]+1):INDEX(Tasks[_LeafTotalSlack],Tasks[[#This Row],[_Row]]+Tasks[[#This Row],[_Descendants]])),Tasks[[#This Row],[_LeafTotalSlack]]))</f>
        <v/>
      </c>
      <c r="AH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3" s="28" t="str">
        <f aca="false">IF(Tasks[[#This Row],[Task Name]]="","",IF(IF(Tasks[[#This Row],[_IsSummary]],COUNTIF(INDEX(Tasks[_LeafCritical],Tasks[[#This Row],[_Row]]+1):INDEX(Tasks[_LeafCritical],Tasks[[#This Row],[_Row]]+Tasks[[#This Row],[_Descendants]]),TRUE())&gt;0,Tasks[[#This Row],[_LeafCritical]]),"Yes",""))</f>
        <v/>
      </c>
      <c r="AJ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3" s="89"/>
      <c r="AM1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3" s="28" t="str">
        <f aca="false">IF(Tasks[[#This Row],[Task Name]]="","",IF(Tasks[[#This Row],[Progress]]&gt;=1,"Complete",IF(OR(N(Tasks[[#This Row],[Actual Start]])&gt;0,Tasks[[#This Row],[Progress]]&gt;0),IF(Tasks[[#This Row],[Finish Var]]&gt;0,"Behind","In Progress"),IF(Tasks[[#This Row],[Planned Start]]&lt;StatusDate,"Late Start","Not Started"))))</f>
        <v/>
      </c>
      <c r="AO193" s="30"/>
      <c r="AP193" s="89"/>
      <c r="AQ1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3" s="96" t="str">
        <f aca="false">IF(Tasks[[#This Row],[Task Name]]="","",IF(Tasks[[#This Row],[_IsSummary]],SUM(INDEX(Tasks[_LeafTotalWork],Tasks[[#This Row],[_Row]]+1):INDEX(Tasks[_LeafTotalWork],Tasks[[#This Row],[_Row]]+Tasks[[#This Row],[_Descendants]])),Tasks[[#This Row],[_LeafTotalWork]]))</f>
        <v/>
      </c>
      <c r="AT193" s="97" t="str">
        <f aca="false">IF(Tasks[[#This Row],[Task Name]]="","",IF(Tasks[[#This Row],[_IsSummary]],SUM(INDEX(Tasks[_LeafTotalCost],Tasks[[#This Row],[_Row]]+1):INDEX(Tasks[_LeafTotalCost],Tasks[[#This Row],[_Row]]+Tasks[[#This Row],[_Descendants]])),Tasks[[#This Row],[_LeafTotalCost]]))</f>
        <v/>
      </c>
      <c r="AU193" s="98"/>
      <c r="AV193" s="29"/>
      <c r="AW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3" s="83"/>
      <c r="AY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3" s="30"/>
      <c r="BA193" s="25" t="str">
        <f aca="false">IF(Tasks[[#This Row],[Task Name]]="","",Tasks[[#This Row],[Forecast Start]])</f>
        <v/>
      </c>
      <c r="BB193" s="25" t="str">
        <f aca="false">IF(Tasks[[#This Row],[Task Name]]="","",Tasks[[#This Row],[Forecast Finish]])</f>
        <v/>
      </c>
      <c r="BC193" s="28" t="str">
        <f aca="false">IF(Tasks[[#This Row],[Task Name]]="","",IF(Tasks[[#This Row],[_IsSummary]],NETWORKDAYS.INTL(Tasks[[#This Row],[Forecast Start]],Tasks[[#This Row],[Forecast Finish]],WorkWeek,Holidays),N(Tasks[[#This Row],[Duration]])))</f>
        <v/>
      </c>
      <c r="BD193" s="96" t="str">
        <f aca="false">IF(Tasks[[#This Row],[Task Name]]="","",Tasks[[#This Row],[Work]])</f>
        <v/>
      </c>
      <c r="BE193" s="97" t="str">
        <f aca="false">IF(Tasks[[#This Row],[Task Name]]="","",Tasks[[#This Row],[Cost]])</f>
        <v/>
      </c>
      <c r="BF193" s="75"/>
      <c r="BG193" s="75"/>
      <c r="BH193" s="29"/>
      <c r="BI193" s="99"/>
      <c r="BJ193" s="98"/>
      <c r="BK193" s="28" t="str">
        <f aca="false">IF(OR(Tasks[[#This Row],[Task Name]]="",Tasks[[#This Row],[Baseline Duration]]=""),"",Tasks[[#This Row],[BL Source Duration]]-N(Tasks[[#This Row],[Baseline Duration]]))</f>
        <v/>
      </c>
      <c r="BL193" s="96" t="str">
        <f aca="false">IF(OR(Tasks[[#This Row],[Task Name]]="",Tasks[[#This Row],[Baseline Work]]=""),"",Tasks[[#This Row],[Work]]-N(Tasks[[#This Row],[Baseline Work]]))</f>
        <v/>
      </c>
      <c r="BM193" s="97" t="str">
        <f aca="false">IF(OR(Tasks[[#This Row],[Task Name]]="",Tasks[[#This Row],[Baseline Cost]]=""),"",Tasks[[#This Row],[Cost]]-N(Tasks[[#This Row],[Baseline Cost]]))</f>
        <v/>
      </c>
      <c r="BN193" s="97" t="str">
        <f aca="false">IF(Tasks[[#This Row],[Task Name]]="","",IF(Tasks[[#This Row],[_IsSummary]],SUM(INDEX(Tasks[_LeafBudget],Tasks[[#This Row],[_Row]]+1):INDEX(Tasks[_LeafBudget],Tasks[[#This Row],[_Row]]+Tasks[[#This Row],[_Descendants]])),Tasks[[#This Row],[_LeafBudget]]))</f>
        <v/>
      </c>
      <c r="BO193" s="97" t="str">
        <f aca="false">IF(Tasks[[#This Row],[Task Name]]="","",IF(Tasks[[#This Row],[_IsSummary]],SUM(INDEX(Tasks[_LeafPV],Tasks[[#This Row],[_Row]]+1):INDEX(Tasks[_LeafPV],Tasks[[#This Row],[_Row]]+Tasks[[#This Row],[_Descendants]])),Tasks[[#This Row],[_LeafPV]]))</f>
        <v/>
      </c>
      <c r="BP193" s="97" t="str">
        <f aca="false">IF(Tasks[[#This Row],[Task Name]]="","",IF(Tasks[[#This Row],[_IsSummary]],SUM(INDEX(Tasks[_LeafEV],Tasks[[#This Row],[_Row]]+1):INDEX(Tasks[_LeafEV],Tasks[[#This Row],[_Row]]+Tasks[[#This Row],[_Descendants]])),Tasks[[#This Row],[_LeafEV]]))</f>
        <v/>
      </c>
      <c r="BQ193" s="97" t="str">
        <f aca="false">IF(Tasks[[#This Row],[Task Name]]="","",IF(Tasks[[#This Row],[_IsSummary]],SUM(INDEX(Tasks[_LeafAC],Tasks[[#This Row],[_Row]]+1):INDEX(Tasks[_LeafAC],Tasks[[#This Row],[_Row]]+Tasks[[#This Row],[_Descendants]])),Tasks[[#This Row],[_LeafAC]]))</f>
        <v/>
      </c>
      <c r="BR193" s="41" t="str">
        <f aca="false">IF(Tasks[[#This Row],[Task Name]]="","",MAX(1,N(Tasks[[#This Row],[Level]])))</f>
        <v/>
      </c>
      <c r="BS193" s="41" t="n">
        <f aca="false">ROW()-ROW(Tasks[[#Headers],[ID]])</f>
        <v>188</v>
      </c>
      <c r="BT193" s="41" t="n">
        <f aca="false">IF(OR(Tasks[[#This Row],[Task Name]]="",Tasks[[#This Row],[_Level]]&lt;=1),0,IFERROR(LOOKUP(2,1/(Tasks[[#Headers],[_Level]]:Tasks[[#This Row],[_Level]]=Tasks[[#This Row],[_Level]]-1),ROW(Tasks[[#Headers],[_Level]]:Tasks[[#This Row],[_Level]])),0))</f>
        <v>0</v>
      </c>
      <c r="BU193" s="41" t="n">
        <f aca="false">IFERROR(N(INDEX(Tasks[_Level],Tasks[[#This Row],[_Row]]+1)),0)</f>
        <v>0</v>
      </c>
      <c r="BV193" s="100" t="b">
        <f aca="false">AND(Tasks[[#This Row],[Task Name]]&lt;&gt;"",Tasks[[#This Row],[_NextLevel]]&gt;Tasks[[#This Row],[_Level]])</f>
        <v>0</v>
      </c>
      <c r="BW193" s="41" t="n">
        <f aca="false">IF(Tasks[[#This Row],[_IsSummary]],COUNTIF(Tasks[WBS],Tasks[[#This Row],[WBS]]&amp;".*"),0)</f>
        <v>0</v>
      </c>
      <c r="BX193" s="41" t="n">
        <f aca="false">IF(AND(Tasks[[#This Row],[Task Name]]&lt;&gt;"",NOT(Tasks[[#This Row],[_IsSummary]])),1,0)</f>
        <v>0</v>
      </c>
      <c r="BY193" s="41" t="n">
        <f aca="false">IF(N(Tasks[[#This Row],[Pred1 UID]])=0,0,IFERROR(MATCH(Tasks[[#This Row],[Pred1 UID]],Tasks[UID],0),-1))</f>
        <v>0</v>
      </c>
      <c r="BZ193" s="41" t="n">
        <f aca="false">IF(N(Tasks[[#This Row],[Pred2 UID]])=0,0,IFERROR(MATCH(Tasks[[#This Row],[Pred2 UID]],Tasks[UID],0),-1))</f>
        <v>0</v>
      </c>
      <c r="CA193" s="41" t="n">
        <f aca="false">IF(N(Tasks[[#This Row],[Pred3 UID]])=0,0,IFERROR(MATCH(Tasks[[#This Row],[Pred3 UID]],Tasks[UID],0),-1))</f>
        <v>0</v>
      </c>
      <c r="CB193" s="41" t="n">
        <f aca="false">IF(N(Tasks[[#This Row],[Pred4 UID]])=0,0,IFERROR(MATCH(Tasks[[#This Row],[Pred4 UID]],Tasks[UID],0),-1))</f>
        <v>0</v>
      </c>
      <c r="CC1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3" s="101" t="n">
        <f aca="false">IF(OR(Tasks[[#This Row],[_ConstraintCode]]=2,Tasks[[#This Row],[_ConstraintCode]]=3,Tasks[[#This Row],[_ConstraintCode]]=4,Tasks[[#This Row],[_ConstraintCode]]=6),Tasks[[#This Row],[_ConstraintStart]],0)</f>
        <v>0</v>
      </c>
      <c r="CF193" s="101" t="n">
        <f aca="false">IF(OR(Tasks[[#This Row],[_ConstraintCode]]=2,Tasks[[#This Row],[_ConstraintCode]]=3,Tasks[[#This Row],[_ConstraintCode]]=5,Tasks[[#This Row],[_ConstraintCode]]=7),Tasks[[#This Row],[_ConstraintStart]],2958465)</f>
        <v>2958465</v>
      </c>
      <c r="CG19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3" s="101" t="str">
        <f aca="false">IF(NOT(Tasks[[#This Row],[_IsLeaf]]=1),"",IF(N(Tasks[[#This Row],[Duration]])&lt;=0,Tasks[[#This Row],[_LeafCalcStart]],WORKDAY.INTL(Tasks[[#This Row],[_LeafCalcStart]],Tasks[[#This Row],[Duration]]-1,WorkWeek,Holidays)))</f>
        <v/>
      </c>
      <c r="CI19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3" s="41" t="n">
        <f aca="false">IF(NOT(Tasks[[#This Row],[_IsLeaf]]=1),0,IF(N(Tasks[[#This Row],[Actual Finish]])&gt;0,1,MIN(1,N(Tasks[[#This Row],[% Complete]]))))</f>
        <v>0</v>
      </c>
      <c r="CL193" s="41" t="n">
        <f aca="false">IF(OR(NOT(Tasks[[#This Row],[_IsLeaf]]=1),Tasks[[#This Row],[Resource]]=""),0,N(Tasks[[#This Row],[Duration]])*HoursPerDay*IF(Tasks[[#This Row],[Units]]="",DefaultUnits,Tasks[[#This Row],[Units]]))</f>
        <v>0</v>
      </c>
      <c r="CM193" s="41" t="n">
        <f aca="false">IF(Tasks[[#This Row],[_LeafWork]]=0,0,Tasks[[#This Row],[_LeafWork]]*IFERROR(INDEX(res_Rate,MATCH(Tasks[[#This Row],[Resource]],res_Name,0)),0))</f>
        <v>0</v>
      </c>
      <c r="CN193" s="41" t="n">
        <f aca="false">Tasks[[#This Row],[_LeafWork]]+IF(Tasks[[#This Row],[_IsLeaf]]=1,SUMIFS(asg_Work,asg_TaskUID,Tasks[[#This Row],[UID]],asg_Valid,1),0)</f>
        <v>0</v>
      </c>
      <c r="CO193" s="41" t="n">
        <f aca="false">Tasks[[#This Row],[_LeafCost]]+IF(Tasks[[#This Row],[_IsLeaf]]=1,SUMIFS(asg_Cost,asg_TaskUID,Tasks[[#This Row],[UID]],asg_Valid,1),0)</f>
        <v>0</v>
      </c>
      <c r="CP193" s="41" t="n">
        <f aca="false">IF(Tasks[[#This Row],[_LeafTotalCost]]=0,Tasks[[#This Row],[_LeafAC]],Tasks[[#This Row],[_LeafAC]]*Tasks[[#This Row],[_LeafCost]]/Tasks[[#This Row],[_LeafTotalCost]])</f>
        <v>0</v>
      </c>
      <c r="CQ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3" s="41" t="n">
        <f aca="false">IF(NOT(Tasks[[#This Row],[_IsLeaf]]=1),0,MAX(_xlfn.MAXIFS(Tasks[_Row],Tasks[Pred1 UID],Tasks[[#This Row],[UID]]),_xlfn.MAXIFS(Tasks[_Row],Tasks[Pred2 UID],Tasks[[#This Row],[UID]]),_xlfn.MAXIFS(Tasks[_Row],Tasks[Pred3 UID],Tasks[[#This Row],[UID]]),_xlfn.MAXIFS(Tasks[_Row],Tasks[Pred4 UID],Tasks[[#This Row],[UID]])))</f>
        <v>0</v>
      </c>
      <c r="CZ1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3" s="101" t="str">
        <f aca="false">IF(NOT(Tasks[[#This Row],[_IsLeaf]]=1),"",IF(N(Tasks[[#This Row],[Duration]])&lt;=0,Tasks[[#This Row],[_LeafLateFinish]],WORKDAY.INTL(Tasks[[#This Row],[_LeafLateFinish]],-(Tasks[[#This Row],[Duration]]-1),WorkWeek,Holidays)))</f>
        <v/>
      </c>
      <c r="DC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3" s="100" t="b">
        <f aca="false">AND(Tasks[[#This Row],[_IsLeaf]]=1,Tasks[[#This Row],[_LeafProgress]]&lt;1,N(Tasks[[#This Row],[_LeafTotalSlack]])&lt;=CriticalSlackDays)</f>
        <v>0</v>
      </c>
      <c r="DE193" s="41" t="n">
        <f aca="false">IF(AND(Tasks[[#This Row],[_IsLeaf]]=1,Tasks[[#This Row],[_ConstraintCode]]=1,Tasks[[#This Row],[Mode]]&lt;&gt;"Manual",N(Tasks[[#This Row],[Actual Start]])=0),MAX(0,N(Tasks[[#This Row],[Free Slack]])),0)</f>
        <v>0</v>
      </c>
      <c r="DF193" s="101" t="str">
        <f aca="false">IF(NOT(Tasks[[#This Row],[_IsLeaf]]=1),"",IF(Tasks[[#This Row],[_AlapShift]]=0,Tasks[[#This Row],[_LeafCalcStart]],WORKDAY.INTL(Tasks[[#This Row],[_LeafCalcStart]],Tasks[[#This Row],[_AlapShift]],WorkWeek,Holidays)))</f>
        <v/>
      </c>
      <c r="DG193" s="101" t="str">
        <f aca="false">IF(NOT(Tasks[[#This Row],[_IsLeaf]]=1),"",IF(Tasks[[#This Row],[_AlapShift]]=0,Tasks[[#This Row],[_LeafCalcFinish]],WORKDAY.INTL(Tasks[[#This Row],[_LeafCalcFinish]],Tasks[[#This Row],[_AlapShift]],WorkWeek,Holidays)))</f>
        <v/>
      </c>
      <c r="DH193" s="101" t="str">
        <f aca="false">IF(NOT(Tasks[[#This Row],[_IsLeaf]]=1),"",IF(Tasks[[#This Row],[_AlapShift]]=0,Tasks[[#This Row],[_LeafFcstStart]],WORKDAY.INTL(Tasks[[#This Row],[_LeafFcstStart]],Tasks[[#This Row],[_AlapShift]],WorkWeek,Holidays)))</f>
        <v/>
      </c>
      <c r="DI193" s="101" t="str">
        <f aca="false">IF(NOT(Tasks[[#This Row],[_IsLeaf]]=1),"",IF(Tasks[[#This Row],[_AlapShift]]=0,Tasks[[#This Row],[_LeafFcstFinish]],WORKDAY.INTL(Tasks[[#This Row],[_LeafFcstFinish]],Tasks[[#This Row],[_AlapShift]],WorkWeek,Holidays)))</f>
        <v/>
      </c>
      <c r="DJ193" s="101" t="str">
        <f aca="false">IF(Tasks[[#This Row],[Task Name]]="","",IF(Tasks[[#This Row],[_IsSummary]],MIN(INDEX(Tasks[_ShownCalcStart],Tasks[[#This Row],[_Row]]+1):INDEX(Tasks[_ShownCalcStart],Tasks[[#This Row],[_Row]]+Tasks[[#This Row],[_Descendants]])),Tasks[[#This Row],[_ShownCalcStart]]))</f>
        <v/>
      </c>
      <c r="DK193" s="101" t="str">
        <f aca="false">IF(Tasks[[#This Row],[Task Name]]="","",IF(Tasks[[#This Row],[_IsSummary]],MAX(INDEX(Tasks[_ShownCalcFinish],Tasks[[#This Row],[_Row]]+1):INDEX(Tasks[_ShownCalcFinish],Tasks[[#This Row],[_Row]]+Tasks[[#This Row],[_Descendants]])),Tasks[[#This Row],[_ShownCalcFinish]]))</f>
        <v/>
      </c>
      <c r="D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3" s="41" t="n">
        <f aca="false">IF(AND(Tasks[[#This Row],[_IsLeaf]]=1,Tasks[[#This Row],[_LeafTotalWork]]&gt;0),NETWORKDAYS.INTL(ProjectStart,Tasks[[#This Row],[_ShownFcstStart]],WorkWeek,Holidays),0)</f>
        <v>0</v>
      </c>
      <c r="DY193" s="41" t="n">
        <f aca="false">IF(AND(Tasks[[#This Row],[_IsLeaf]]=1,Tasks[[#This Row],[_LeafTotalWork]]&gt;0),MAX(Tasks[[#This Row],[_StartWorkday]],NETWORKDAYS.INTL(ProjectStart,Tasks[[#This Row],[_ShownFcstFinish]],WorkWeek,Holidays)),0)</f>
        <v>0</v>
      </c>
      <c r="DZ193" s="41" t="n">
        <f aca="false">IF(AND(Tasks[[#This Row],[_IsLeaf]]=1,Tasks[[#This Row],[_LeafTotalWork]]&gt;0),Tasks[[#This Row],[_LeafWork]]/(Tasks[[#This Row],[_FinishWorkday]]-Tasks[[#This Row],[_StartWorkday]]+1),0)</f>
        <v>0</v>
      </c>
      <c r="EA193" s="41" t="n">
        <f aca="false">Tasks[[#This Row],[_WorkPerWorkday]]*(Tasks[[#This Row],[_StartWorkday]]-1)</f>
        <v>-0</v>
      </c>
      <c r="EB193" s="41" t="n">
        <f aca="false">IF(Tasks[[#This Row],[_IsLeaf]]=1,MAX(N(Tasks[[#This Row],[Duration]]),0.1),0)</f>
        <v>0</v>
      </c>
      <c r="EC193" s="41" t="n">
        <f aca="false">Tasks[[#This Row],[_WeightDur]]*Tasks[[#This Row],[_LeafProgress]]</f>
        <v>0</v>
      </c>
      <c r="ED1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3" s="41" t="str">
        <f aca="false">IF(AND(Tasks[[#This Row],[_IsLeaf]]=1,N(Tasks[[#This Row],[Duration]])=0,Tasks[[#This Row],[_LeafProgress]]&lt;1),Tasks[[#This Row],[_ShownFcstFinish]]+Tasks[[#This Row],[_Row]]/100000,"")</f>
        <v/>
      </c>
      <c r="EF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3" s="41" t="n">
        <f aca="false">IF(NOT(Tasks[[#This Row],[_IsLeaf]]=1),0,IF(Tasks[[#This Row],[Baseline Cost]]="",Tasks[[#This Row],[_LeafTotalCost]],N(Tasks[[#This Row],[Baseline Cost]])))</f>
        <v>0</v>
      </c>
      <c r="EH193" s="41" t="n">
        <f aca="false">Tasks[[#This Row],[_LeafBudget]]*Tasks[[#This Row],[_PlannedPct]]</f>
        <v>0</v>
      </c>
      <c r="EI193" s="41" t="n">
        <f aca="false">Tasks[[#This Row],[_LeafBudget]]*Tasks[[#This Row],[_LeafProgress]]</f>
        <v>0</v>
      </c>
      <c r="EJ193" s="41" t="n">
        <f aca="false">IF(NOT(Tasks[[#This Row],[_IsLeaf]]=1),0,IF(Tasks[[#This Row],[Actual Cost]]="",Tasks[[#This Row],[_LeafTotalCost]]*Tasks[[#This Row],[_LeafProgress]],N(Tasks[[#This Row],[Actual Cost]])))</f>
        <v>0</v>
      </c>
      <c r="EK193" s="41" t="str">
        <f aca="false">IF(Tasks[[#This Row],[Task Name]]="","",LEFT(Tasks[[#This Row],[WBS]],FIND(".",Tasks[[#This Row],[WBS]]&amp;".")-1))</f>
        <v/>
      </c>
      <c r="EL193" s="41" t="str">
        <f aca="false">IF(AND(Tasks[[#This Row],[Task Name]]&lt;&gt;"",Tasks[[#This Row],[_Level]]=1),Tasks[[#This Row],[_Row]],"")</f>
        <v/>
      </c>
      <c r="EM193" s="41" t="str">
        <f aca="false">IF(AND(Tasks[[#This Row],[_IsLeaf]]=1,N(Tasks[[#This Row],[Duration]])=0),Tasks[[#This Row],[Planned Finish]]+Tasks[[#This Row],[_Row]]/100000,"")</f>
        <v/>
      </c>
      <c r="EN193" s="41" t="str">
        <f aca="false">IF(AND(Tasks[[#This Row],[_IsLeaf]]=1,Tasks[[#This Row],[_LeafProgress]]&lt;1,OR(N(Tasks[[#This Row],[Finish Var]])&gt;0,Tasks[[#This Row],[Status]]="Late Start")),MAX(0,Tasks[[#This Row],[Finish Var]])+1-Tasks[[#This Row],[_Row]]/1000000,"")</f>
        <v/>
      </c>
      <c r="EO193" s="41" t="str">
        <f aca="false">IF(AND(Tasks[[#This Row],[_IsLeaf]]=1,N(Tasks[[#This Row],[Actual Start]])=0,Tasks[[#This Row],[_ShownFcstStart]]&gt;=StatusDate,Tasks[[#This Row],[_ShownFcstStart]]&lt;=LookaheadEnd),Tasks[[#This Row],[_ShownFcstStart]]+Tasks[[#This Row],[_Row]]/100000,"")</f>
        <v/>
      </c>
      <c r="EP193" s="41" t="str">
        <f aca="false">IF(AND(Tasks[[#This Row],[_IsLeaf]]=1,Tasks[[#This Row],[_LeafProgress]]&lt;1,Tasks[[#This Row],[_ShownFcstFinish]]&gt;=StatusDate,Tasks[[#This Row],[_ShownFcstFinish]]&lt;=LookaheadEnd),Tasks[[#This Row],[_ShownFcstFinish]]+Tasks[[#This Row],[_Row]]/100000,"")</f>
        <v/>
      </c>
      <c r="EQ193" s="41" t="str">
        <f aca="false">IF(Tasks[[#This Row],[_LeafCritical]],Tasks[[#This Row],[_ShownFcstStart]]+Tasks[[#This Row],[_Row]]/100000,"")</f>
        <v/>
      </c>
      <c r="ER193" s="41" t="n">
        <f aca="false">Tasks[[#This Row],[_LeafWork]]*Tasks[[#This Row],[_LeafProgress]]</f>
        <v>0</v>
      </c>
      <c r="ES193" s="101" t="str">
        <f aca="false">IF(AND(Tasks[[#This Row],[_IsLeaf]]=1,Tasks[[#This Row],[_LeafProgress]]&gt;=1),IF(N(Tasks[[#This Row],[Actual Finish]])&gt;0,Tasks[[#This Row],[Actual Finish]],Tasks[[#This Row],[_ShownFcstFinish]]),"")</f>
        <v/>
      </c>
      <c r="ET193" s="41" t="n">
        <f aca="false">IF(Tasks[[#This Row],[_IsLeaf]]=1,N(Tasks[[#This Row],[Story Points]]),0)</f>
        <v>0</v>
      </c>
      <c r="EU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29"/>
      <c r="O194" s="29"/>
      <c r="P194" s="29"/>
      <c r="Q194" s="29"/>
      <c r="R194" s="29"/>
      <c r="S194" s="29"/>
      <c r="T194" s="30"/>
      <c r="U194" s="75"/>
      <c r="V194" s="75"/>
      <c r="W194" s="25" t="str">
        <f aca="false">IF(Tasks[[#This Row],[Task Name]]="","",IF(N(Tasks[[#This Row],[Baseline Start]])&gt;0,Tasks[[#This Row],[Baseline Start]],Tasks[[#This Row],[_CalcStart]]))</f>
        <v/>
      </c>
      <c r="X194" s="25" t="str">
        <f aca="false">IF(Tasks[[#This Row],[Task Name]]="","",IF(N(Tasks[[#This Row],[Baseline Finish]])&gt;0,Tasks[[#This Row],[Baseline Finish]],Tasks[[#This Row],[_CalcFinish]]))</f>
        <v/>
      </c>
      <c r="Y194" s="75"/>
      <c r="Z194" s="75"/>
      <c r="AA194" s="25" t="str">
        <f aca="false">IF(Tasks[[#This Row],[Task Name]]="","",IF(Tasks[[#This Row],[_IsSummary]],MIN(INDEX(Tasks[_ShownFcstStart],Tasks[[#This Row],[_Row]]+1):INDEX(Tasks[_ShownFcstStart],Tasks[[#This Row],[_Row]]+Tasks[[#This Row],[_Descendants]])),Tasks[[#This Row],[_ShownFcstStart]]))</f>
        <v/>
      </c>
      <c r="AB194" s="25" t="str">
        <f aca="false">IF(Tasks[[#This Row],[Task Name]]="","",IF(Tasks[[#This Row],[_IsSummary]],MAX(INDEX(Tasks[_ShownFcstFinish],Tasks[[#This Row],[_Row]]+1):INDEX(Tasks[_ShownFcstFinish],Tasks[[#This Row],[_Row]]+Tasks[[#This Row],[_Descendants]])),Tasks[[#This Row],[_ShownFcstFinish]]))</f>
        <v/>
      </c>
      <c r="AC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4" s="25" t="str">
        <f aca="false">IF(Tasks[[#This Row],[Task Name]]="","",IF(Tasks[[#This Row],[_IsSummary]],MIN(INDEX(Tasks[_LeafLateStart],Tasks[[#This Row],[_Row]]+1):INDEX(Tasks[_LeafLateStart],Tasks[[#This Row],[_Row]]+Tasks[[#This Row],[_Descendants]])),Tasks[[#This Row],[_LeafLateStart]]))</f>
        <v/>
      </c>
      <c r="AF194" s="25" t="str">
        <f aca="false">IF(Tasks[[#This Row],[Task Name]]="","",IF(Tasks[[#This Row],[_IsSummary]],MAX(INDEX(Tasks[_LeafLateFinish],Tasks[[#This Row],[_Row]]+1):INDEX(Tasks[_LeafLateFinish],Tasks[[#This Row],[_Row]]+Tasks[[#This Row],[_Descendants]])),Tasks[[#This Row],[_LeafLateFinish]]))</f>
        <v/>
      </c>
      <c r="AG194" s="28" t="str">
        <f aca="false">IF(Tasks[[#This Row],[Task Name]]="","",IF(Tasks[[#This Row],[_IsSummary]],MIN(INDEX(Tasks[_LeafTotalSlack],Tasks[[#This Row],[_Row]]+1):INDEX(Tasks[_LeafTotalSlack],Tasks[[#This Row],[_Row]]+Tasks[[#This Row],[_Descendants]])),Tasks[[#This Row],[_LeafTotalSlack]]))</f>
        <v/>
      </c>
      <c r="AH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4" s="28" t="str">
        <f aca="false">IF(Tasks[[#This Row],[Task Name]]="","",IF(IF(Tasks[[#This Row],[_IsSummary]],COUNTIF(INDEX(Tasks[_LeafCritical],Tasks[[#This Row],[_Row]]+1):INDEX(Tasks[_LeafCritical],Tasks[[#This Row],[_Row]]+Tasks[[#This Row],[_Descendants]]),TRUE())&gt;0,Tasks[[#This Row],[_LeafCritical]]),"Yes",""))</f>
        <v/>
      </c>
      <c r="AJ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4" s="89"/>
      <c r="AM1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4" s="28" t="str">
        <f aca="false">IF(Tasks[[#This Row],[Task Name]]="","",IF(Tasks[[#This Row],[Progress]]&gt;=1,"Complete",IF(OR(N(Tasks[[#This Row],[Actual Start]])&gt;0,Tasks[[#This Row],[Progress]]&gt;0),IF(Tasks[[#This Row],[Finish Var]]&gt;0,"Behind","In Progress"),IF(Tasks[[#This Row],[Planned Start]]&lt;StatusDate,"Late Start","Not Started"))))</f>
        <v/>
      </c>
      <c r="AO194" s="30"/>
      <c r="AP194" s="89"/>
      <c r="AQ1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4" s="96" t="str">
        <f aca="false">IF(Tasks[[#This Row],[Task Name]]="","",IF(Tasks[[#This Row],[_IsSummary]],SUM(INDEX(Tasks[_LeafTotalWork],Tasks[[#This Row],[_Row]]+1):INDEX(Tasks[_LeafTotalWork],Tasks[[#This Row],[_Row]]+Tasks[[#This Row],[_Descendants]])),Tasks[[#This Row],[_LeafTotalWork]]))</f>
        <v/>
      </c>
      <c r="AT194" s="97" t="str">
        <f aca="false">IF(Tasks[[#This Row],[Task Name]]="","",IF(Tasks[[#This Row],[_IsSummary]],SUM(INDEX(Tasks[_LeafTotalCost],Tasks[[#This Row],[_Row]]+1):INDEX(Tasks[_LeafTotalCost],Tasks[[#This Row],[_Row]]+Tasks[[#This Row],[_Descendants]])),Tasks[[#This Row],[_LeafTotalCost]]))</f>
        <v/>
      </c>
      <c r="AU194" s="98"/>
      <c r="AV194" s="29"/>
      <c r="AW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4" s="83"/>
      <c r="AY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4" s="30"/>
      <c r="BA194" s="25" t="str">
        <f aca="false">IF(Tasks[[#This Row],[Task Name]]="","",Tasks[[#This Row],[Forecast Start]])</f>
        <v/>
      </c>
      <c r="BB194" s="25" t="str">
        <f aca="false">IF(Tasks[[#This Row],[Task Name]]="","",Tasks[[#This Row],[Forecast Finish]])</f>
        <v/>
      </c>
      <c r="BC194" s="28" t="str">
        <f aca="false">IF(Tasks[[#This Row],[Task Name]]="","",IF(Tasks[[#This Row],[_IsSummary]],NETWORKDAYS.INTL(Tasks[[#This Row],[Forecast Start]],Tasks[[#This Row],[Forecast Finish]],WorkWeek,Holidays),N(Tasks[[#This Row],[Duration]])))</f>
        <v/>
      </c>
      <c r="BD194" s="96" t="str">
        <f aca="false">IF(Tasks[[#This Row],[Task Name]]="","",Tasks[[#This Row],[Work]])</f>
        <v/>
      </c>
      <c r="BE194" s="97" t="str">
        <f aca="false">IF(Tasks[[#This Row],[Task Name]]="","",Tasks[[#This Row],[Cost]])</f>
        <v/>
      </c>
      <c r="BF194" s="75"/>
      <c r="BG194" s="75"/>
      <c r="BH194" s="29"/>
      <c r="BI194" s="99"/>
      <c r="BJ194" s="98"/>
      <c r="BK194" s="28" t="str">
        <f aca="false">IF(OR(Tasks[[#This Row],[Task Name]]="",Tasks[[#This Row],[Baseline Duration]]=""),"",Tasks[[#This Row],[BL Source Duration]]-N(Tasks[[#This Row],[Baseline Duration]]))</f>
        <v/>
      </c>
      <c r="BL194" s="96" t="str">
        <f aca="false">IF(OR(Tasks[[#This Row],[Task Name]]="",Tasks[[#This Row],[Baseline Work]]=""),"",Tasks[[#This Row],[Work]]-N(Tasks[[#This Row],[Baseline Work]]))</f>
        <v/>
      </c>
      <c r="BM194" s="97" t="str">
        <f aca="false">IF(OR(Tasks[[#This Row],[Task Name]]="",Tasks[[#This Row],[Baseline Cost]]=""),"",Tasks[[#This Row],[Cost]]-N(Tasks[[#This Row],[Baseline Cost]]))</f>
        <v/>
      </c>
      <c r="BN194" s="97" t="str">
        <f aca="false">IF(Tasks[[#This Row],[Task Name]]="","",IF(Tasks[[#This Row],[_IsSummary]],SUM(INDEX(Tasks[_LeafBudget],Tasks[[#This Row],[_Row]]+1):INDEX(Tasks[_LeafBudget],Tasks[[#This Row],[_Row]]+Tasks[[#This Row],[_Descendants]])),Tasks[[#This Row],[_LeafBudget]]))</f>
        <v/>
      </c>
      <c r="BO194" s="97" t="str">
        <f aca="false">IF(Tasks[[#This Row],[Task Name]]="","",IF(Tasks[[#This Row],[_IsSummary]],SUM(INDEX(Tasks[_LeafPV],Tasks[[#This Row],[_Row]]+1):INDEX(Tasks[_LeafPV],Tasks[[#This Row],[_Row]]+Tasks[[#This Row],[_Descendants]])),Tasks[[#This Row],[_LeafPV]]))</f>
        <v/>
      </c>
      <c r="BP194" s="97" t="str">
        <f aca="false">IF(Tasks[[#This Row],[Task Name]]="","",IF(Tasks[[#This Row],[_IsSummary]],SUM(INDEX(Tasks[_LeafEV],Tasks[[#This Row],[_Row]]+1):INDEX(Tasks[_LeafEV],Tasks[[#This Row],[_Row]]+Tasks[[#This Row],[_Descendants]])),Tasks[[#This Row],[_LeafEV]]))</f>
        <v/>
      </c>
      <c r="BQ194" s="97" t="str">
        <f aca="false">IF(Tasks[[#This Row],[Task Name]]="","",IF(Tasks[[#This Row],[_IsSummary]],SUM(INDEX(Tasks[_LeafAC],Tasks[[#This Row],[_Row]]+1):INDEX(Tasks[_LeafAC],Tasks[[#This Row],[_Row]]+Tasks[[#This Row],[_Descendants]])),Tasks[[#This Row],[_LeafAC]]))</f>
        <v/>
      </c>
      <c r="BR194" s="41" t="str">
        <f aca="false">IF(Tasks[[#This Row],[Task Name]]="","",MAX(1,N(Tasks[[#This Row],[Level]])))</f>
        <v/>
      </c>
      <c r="BS194" s="41" t="n">
        <f aca="false">ROW()-ROW(Tasks[[#Headers],[ID]])</f>
        <v>189</v>
      </c>
      <c r="BT194" s="41" t="n">
        <f aca="false">IF(OR(Tasks[[#This Row],[Task Name]]="",Tasks[[#This Row],[_Level]]&lt;=1),0,IFERROR(LOOKUP(2,1/(Tasks[[#Headers],[_Level]]:Tasks[[#This Row],[_Level]]=Tasks[[#This Row],[_Level]]-1),ROW(Tasks[[#Headers],[_Level]]:Tasks[[#This Row],[_Level]])),0))</f>
        <v>0</v>
      </c>
      <c r="BU194" s="41" t="n">
        <f aca="false">IFERROR(N(INDEX(Tasks[_Level],Tasks[[#This Row],[_Row]]+1)),0)</f>
        <v>0</v>
      </c>
      <c r="BV194" s="100" t="b">
        <f aca="false">AND(Tasks[[#This Row],[Task Name]]&lt;&gt;"",Tasks[[#This Row],[_NextLevel]]&gt;Tasks[[#This Row],[_Level]])</f>
        <v>0</v>
      </c>
      <c r="BW194" s="41" t="n">
        <f aca="false">IF(Tasks[[#This Row],[_IsSummary]],COUNTIF(Tasks[WBS],Tasks[[#This Row],[WBS]]&amp;".*"),0)</f>
        <v>0</v>
      </c>
      <c r="BX194" s="41" t="n">
        <f aca="false">IF(AND(Tasks[[#This Row],[Task Name]]&lt;&gt;"",NOT(Tasks[[#This Row],[_IsSummary]])),1,0)</f>
        <v>0</v>
      </c>
      <c r="BY194" s="41" t="n">
        <f aca="false">IF(N(Tasks[[#This Row],[Pred1 UID]])=0,0,IFERROR(MATCH(Tasks[[#This Row],[Pred1 UID]],Tasks[UID],0),-1))</f>
        <v>0</v>
      </c>
      <c r="BZ194" s="41" t="n">
        <f aca="false">IF(N(Tasks[[#This Row],[Pred2 UID]])=0,0,IFERROR(MATCH(Tasks[[#This Row],[Pred2 UID]],Tasks[UID],0),-1))</f>
        <v>0</v>
      </c>
      <c r="CA194" s="41" t="n">
        <f aca="false">IF(N(Tasks[[#This Row],[Pred3 UID]])=0,0,IFERROR(MATCH(Tasks[[#This Row],[Pred3 UID]],Tasks[UID],0),-1))</f>
        <v>0</v>
      </c>
      <c r="CB194" s="41" t="n">
        <f aca="false">IF(N(Tasks[[#This Row],[Pred4 UID]])=0,0,IFERROR(MATCH(Tasks[[#This Row],[Pred4 UID]],Tasks[UID],0),-1))</f>
        <v>0</v>
      </c>
      <c r="CC1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4" s="101" t="n">
        <f aca="false">IF(OR(Tasks[[#This Row],[_ConstraintCode]]=2,Tasks[[#This Row],[_ConstraintCode]]=3,Tasks[[#This Row],[_ConstraintCode]]=4,Tasks[[#This Row],[_ConstraintCode]]=6),Tasks[[#This Row],[_ConstraintStart]],0)</f>
        <v>0</v>
      </c>
      <c r="CF194" s="101" t="n">
        <f aca="false">IF(OR(Tasks[[#This Row],[_ConstraintCode]]=2,Tasks[[#This Row],[_ConstraintCode]]=3,Tasks[[#This Row],[_ConstraintCode]]=5,Tasks[[#This Row],[_ConstraintCode]]=7),Tasks[[#This Row],[_ConstraintStart]],2958465)</f>
        <v>2958465</v>
      </c>
      <c r="CG19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4" s="101" t="str">
        <f aca="false">IF(NOT(Tasks[[#This Row],[_IsLeaf]]=1),"",IF(N(Tasks[[#This Row],[Duration]])&lt;=0,Tasks[[#This Row],[_LeafCalcStart]],WORKDAY.INTL(Tasks[[#This Row],[_LeafCalcStart]],Tasks[[#This Row],[Duration]]-1,WorkWeek,Holidays)))</f>
        <v/>
      </c>
      <c r="CI19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4" s="41" t="n">
        <f aca="false">IF(NOT(Tasks[[#This Row],[_IsLeaf]]=1),0,IF(N(Tasks[[#This Row],[Actual Finish]])&gt;0,1,MIN(1,N(Tasks[[#This Row],[% Complete]]))))</f>
        <v>0</v>
      </c>
      <c r="CL194" s="41" t="n">
        <f aca="false">IF(OR(NOT(Tasks[[#This Row],[_IsLeaf]]=1),Tasks[[#This Row],[Resource]]=""),0,N(Tasks[[#This Row],[Duration]])*HoursPerDay*IF(Tasks[[#This Row],[Units]]="",DefaultUnits,Tasks[[#This Row],[Units]]))</f>
        <v>0</v>
      </c>
      <c r="CM194" s="41" t="n">
        <f aca="false">IF(Tasks[[#This Row],[_LeafWork]]=0,0,Tasks[[#This Row],[_LeafWork]]*IFERROR(INDEX(res_Rate,MATCH(Tasks[[#This Row],[Resource]],res_Name,0)),0))</f>
        <v>0</v>
      </c>
      <c r="CN194" s="41" t="n">
        <f aca="false">Tasks[[#This Row],[_LeafWork]]+IF(Tasks[[#This Row],[_IsLeaf]]=1,SUMIFS(asg_Work,asg_TaskUID,Tasks[[#This Row],[UID]],asg_Valid,1),0)</f>
        <v>0</v>
      </c>
      <c r="CO194" s="41" t="n">
        <f aca="false">Tasks[[#This Row],[_LeafCost]]+IF(Tasks[[#This Row],[_IsLeaf]]=1,SUMIFS(asg_Cost,asg_TaskUID,Tasks[[#This Row],[UID]],asg_Valid,1),0)</f>
        <v>0</v>
      </c>
      <c r="CP194" s="41" t="n">
        <f aca="false">IF(Tasks[[#This Row],[_LeafTotalCost]]=0,Tasks[[#This Row],[_LeafAC]],Tasks[[#This Row],[_LeafAC]]*Tasks[[#This Row],[_LeafCost]]/Tasks[[#This Row],[_LeafTotalCost]])</f>
        <v>0</v>
      </c>
      <c r="CQ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4" s="41" t="n">
        <f aca="false">IF(NOT(Tasks[[#This Row],[_IsLeaf]]=1),0,MAX(_xlfn.MAXIFS(Tasks[_Row],Tasks[Pred1 UID],Tasks[[#This Row],[UID]]),_xlfn.MAXIFS(Tasks[_Row],Tasks[Pred2 UID],Tasks[[#This Row],[UID]]),_xlfn.MAXIFS(Tasks[_Row],Tasks[Pred3 UID],Tasks[[#This Row],[UID]]),_xlfn.MAXIFS(Tasks[_Row],Tasks[Pred4 UID],Tasks[[#This Row],[UID]])))</f>
        <v>0</v>
      </c>
      <c r="CZ1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4" s="101" t="str">
        <f aca="false">IF(NOT(Tasks[[#This Row],[_IsLeaf]]=1),"",IF(N(Tasks[[#This Row],[Duration]])&lt;=0,Tasks[[#This Row],[_LeafLateFinish]],WORKDAY.INTL(Tasks[[#This Row],[_LeafLateFinish]],-(Tasks[[#This Row],[Duration]]-1),WorkWeek,Holidays)))</f>
        <v/>
      </c>
      <c r="DC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4" s="100" t="b">
        <f aca="false">AND(Tasks[[#This Row],[_IsLeaf]]=1,Tasks[[#This Row],[_LeafProgress]]&lt;1,N(Tasks[[#This Row],[_LeafTotalSlack]])&lt;=CriticalSlackDays)</f>
        <v>0</v>
      </c>
      <c r="DE194" s="41" t="n">
        <f aca="false">IF(AND(Tasks[[#This Row],[_IsLeaf]]=1,Tasks[[#This Row],[_ConstraintCode]]=1,Tasks[[#This Row],[Mode]]&lt;&gt;"Manual",N(Tasks[[#This Row],[Actual Start]])=0),MAX(0,N(Tasks[[#This Row],[Free Slack]])),0)</f>
        <v>0</v>
      </c>
      <c r="DF194" s="101" t="str">
        <f aca="false">IF(NOT(Tasks[[#This Row],[_IsLeaf]]=1),"",IF(Tasks[[#This Row],[_AlapShift]]=0,Tasks[[#This Row],[_LeafCalcStart]],WORKDAY.INTL(Tasks[[#This Row],[_LeafCalcStart]],Tasks[[#This Row],[_AlapShift]],WorkWeek,Holidays)))</f>
        <v/>
      </c>
      <c r="DG194" s="101" t="str">
        <f aca="false">IF(NOT(Tasks[[#This Row],[_IsLeaf]]=1),"",IF(Tasks[[#This Row],[_AlapShift]]=0,Tasks[[#This Row],[_LeafCalcFinish]],WORKDAY.INTL(Tasks[[#This Row],[_LeafCalcFinish]],Tasks[[#This Row],[_AlapShift]],WorkWeek,Holidays)))</f>
        <v/>
      </c>
      <c r="DH194" s="101" t="str">
        <f aca="false">IF(NOT(Tasks[[#This Row],[_IsLeaf]]=1),"",IF(Tasks[[#This Row],[_AlapShift]]=0,Tasks[[#This Row],[_LeafFcstStart]],WORKDAY.INTL(Tasks[[#This Row],[_LeafFcstStart]],Tasks[[#This Row],[_AlapShift]],WorkWeek,Holidays)))</f>
        <v/>
      </c>
      <c r="DI194" s="101" t="str">
        <f aca="false">IF(NOT(Tasks[[#This Row],[_IsLeaf]]=1),"",IF(Tasks[[#This Row],[_AlapShift]]=0,Tasks[[#This Row],[_LeafFcstFinish]],WORKDAY.INTL(Tasks[[#This Row],[_LeafFcstFinish]],Tasks[[#This Row],[_AlapShift]],WorkWeek,Holidays)))</f>
        <v/>
      </c>
      <c r="DJ194" s="101" t="str">
        <f aca="false">IF(Tasks[[#This Row],[Task Name]]="","",IF(Tasks[[#This Row],[_IsSummary]],MIN(INDEX(Tasks[_ShownCalcStart],Tasks[[#This Row],[_Row]]+1):INDEX(Tasks[_ShownCalcStart],Tasks[[#This Row],[_Row]]+Tasks[[#This Row],[_Descendants]])),Tasks[[#This Row],[_ShownCalcStart]]))</f>
        <v/>
      </c>
      <c r="DK194" s="101" t="str">
        <f aca="false">IF(Tasks[[#This Row],[Task Name]]="","",IF(Tasks[[#This Row],[_IsSummary]],MAX(INDEX(Tasks[_ShownCalcFinish],Tasks[[#This Row],[_Row]]+1):INDEX(Tasks[_ShownCalcFinish],Tasks[[#This Row],[_Row]]+Tasks[[#This Row],[_Descendants]])),Tasks[[#This Row],[_ShownCalcFinish]]))</f>
        <v/>
      </c>
      <c r="D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4" s="41" t="n">
        <f aca="false">IF(AND(Tasks[[#This Row],[_IsLeaf]]=1,Tasks[[#This Row],[_LeafTotalWork]]&gt;0),NETWORKDAYS.INTL(ProjectStart,Tasks[[#This Row],[_ShownFcstStart]],WorkWeek,Holidays),0)</f>
        <v>0</v>
      </c>
      <c r="DY194" s="41" t="n">
        <f aca="false">IF(AND(Tasks[[#This Row],[_IsLeaf]]=1,Tasks[[#This Row],[_LeafTotalWork]]&gt;0),MAX(Tasks[[#This Row],[_StartWorkday]],NETWORKDAYS.INTL(ProjectStart,Tasks[[#This Row],[_ShownFcstFinish]],WorkWeek,Holidays)),0)</f>
        <v>0</v>
      </c>
      <c r="DZ194" s="41" t="n">
        <f aca="false">IF(AND(Tasks[[#This Row],[_IsLeaf]]=1,Tasks[[#This Row],[_LeafTotalWork]]&gt;0),Tasks[[#This Row],[_LeafWork]]/(Tasks[[#This Row],[_FinishWorkday]]-Tasks[[#This Row],[_StartWorkday]]+1),0)</f>
        <v>0</v>
      </c>
      <c r="EA194" s="41" t="n">
        <f aca="false">Tasks[[#This Row],[_WorkPerWorkday]]*(Tasks[[#This Row],[_StartWorkday]]-1)</f>
        <v>-0</v>
      </c>
      <c r="EB194" s="41" t="n">
        <f aca="false">IF(Tasks[[#This Row],[_IsLeaf]]=1,MAX(N(Tasks[[#This Row],[Duration]]),0.1),0)</f>
        <v>0</v>
      </c>
      <c r="EC194" s="41" t="n">
        <f aca="false">Tasks[[#This Row],[_WeightDur]]*Tasks[[#This Row],[_LeafProgress]]</f>
        <v>0</v>
      </c>
      <c r="ED1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4" s="41" t="str">
        <f aca="false">IF(AND(Tasks[[#This Row],[_IsLeaf]]=1,N(Tasks[[#This Row],[Duration]])=0,Tasks[[#This Row],[_LeafProgress]]&lt;1),Tasks[[#This Row],[_ShownFcstFinish]]+Tasks[[#This Row],[_Row]]/100000,"")</f>
        <v/>
      </c>
      <c r="EF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4" s="41" t="n">
        <f aca="false">IF(NOT(Tasks[[#This Row],[_IsLeaf]]=1),0,IF(Tasks[[#This Row],[Baseline Cost]]="",Tasks[[#This Row],[_LeafTotalCost]],N(Tasks[[#This Row],[Baseline Cost]])))</f>
        <v>0</v>
      </c>
      <c r="EH194" s="41" t="n">
        <f aca="false">Tasks[[#This Row],[_LeafBudget]]*Tasks[[#This Row],[_PlannedPct]]</f>
        <v>0</v>
      </c>
      <c r="EI194" s="41" t="n">
        <f aca="false">Tasks[[#This Row],[_LeafBudget]]*Tasks[[#This Row],[_LeafProgress]]</f>
        <v>0</v>
      </c>
      <c r="EJ194" s="41" t="n">
        <f aca="false">IF(NOT(Tasks[[#This Row],[_IsLeaf]]=1),0,IF(Tasks[[#This Row],[Actual Cost]]="",Tasks[[#This Row],[_LeafTotalCost]]*Tasks[[#This Row],[_LeafProgress]],N(Tasks[[#This Row],[Actual Cost]])))</f>
        <v>0</v>
      </c>
      <c r="EK194" s="41" t="str">
        <f aca="false">IF(Tasks[[#This Row],[Task Name]]="","",LEFT(Tasks[[#This Row],[WBS]],FIND(".",Tasks[[#This Row],[WBS]]&amp;".")-1))</f>
        <v/>
      </c>
      <c r="EL194" s="41" t="str">
        <f aca="false">IF(AND(Tasks[[#This Row],[Task Name]]&lt;&gt;"",Tasks[[#This Row],[_Level]]=1),Tasks[[#This Row],[_Row]],"")</f>
        <v/>
      </c>
      <c r="EM194" s="41" t="str">
        <f aca="false">IF(AND(Tasks[[#This Row],[_IsLeaf]]=1,N(Tasks[[#This Row],[Duration]])=0),Tasks[[#This Row],[Planned Finish]]+Tasks[[#This Row],[_Row]]/100000,"")</f>
        <v/>
      </c>
      <c r="EN194" s="41" t="str">
        <f aca="false">IF(AND(Tasks[[#This Row],[_IsLeaf]]=1,Tasks[[#This Row],[_LeafProgress]]&lt;1,OR(N(Tasks[[#This Row],[Finish Var]])&gt;0,Tasks[[#This Row],[Status]]="Late Start")),MAX(0,Tasks[[#This Row],[Finish Var]])+1-Tasks[[#This Row],[_Row]]/1000000,"")</f>
        <v/>
      </c>
      <c r="EO194" s="41" t="str">
        <f aca="false">IF(AND(Tasks[[#This Row],[_IsLeaf]]=1,N(Tasks[[#This Row],[Actual Start]])=0,Tasks[[#This Row],[_ShownFcstStart]]&gt;=StatusDate,Tasks[[#This Row],[_ShownFcstStart]]&lt;=LookaheadEnd),Tasks[[#This Row],[_ShownFcstStart]]+Tasks[[#This Row],[_Row]]/100000,"")</f>
        <v/>
      </c>
      <c r="EP194" s="41" t="str">
        <f aca="false">IF(AND(Tasks[[#This Row],[_IsLeaf]]=1,Tasks[[#This Row],[_LeafProgress]]&lt;1,Tasks[[#This Row],[_ShownFcstFinish]]&gt;=StatusDate,Tasks[[#This Row],[_ShownFcstFinish]]&lt;=LookaheadEnd),Tasks[[#This Row],[_ShownFcstFinish]]+Tasks[[#This Row],[_Row]]/100000,"")</f>
        <v/>
      </c>
      <c r="EQ194" s="41" t="str">
        <f aca="false">IF(Tasks[[#This Row],[_LeafCritical]],Tasks[[#This Row],[_ShownFcstStart]]+Tasks[[#This Row],[_Row]]/100000,"")</f>
        <v/>
      </c>
      <c r="ER194" s="41" t="n">
        <f aca="false">Tasks[[#This Row],[_LeafWork]]*Tasks[[#This Row],[_LeafProgress]]</f>
        <v>0</v>
      </c>
      <c r="ES194" s="101" t="str">
        <f aca="false">IF(AND(Tasks[[#This Row],[_IsLeaf]]=1,Tasks[[#This Row],[_LeafProgress]]&gt;=1),IF(N(Tasks[[#This Row],[Actual Finish]])&gt;0,Tasks[[#This Row],[Actual Finish]],Tasks[[#This Row],[_ShownFcstFinish]]),"")</f>
        <v/>
      </c>
      <c r="ET194" s="41" t="n">
        <f aca="false">IF(Tasks[[#This Row],[_IsLeaf]]=1,N(Tasks[[#This Row],[Story Points]]),0)</f>
        <v>0</v>
      </c>
      <c r="EU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29"/>
      <c r="O195" s="29"/>
      <c r="P195" s="29"/>
      <c r="Q195" s="29"/>
      <c r="R195" s="29"/>
      <c r="S195" s="29"/>
      <c r="T195" s="30"/>
      <c r="U195" s="75"/>
      <c r="V195" s="75"/>
      <c r="W195" s="25" t="str">
        <f aca="false">IF(Tasks[[#This Row],[Task Name]]="","",IF(N(Tasks[[#This Row],[Baseline Start]])&gt;0,Tasks[[#This Row],[Baseline Start]],Tasks[[#This Row],[_CalcStart]]))</f>
        <v/>
      </c>
      <c r="X195" s="25" t="str">
        <f aca="false">IF(Tasks[[#This Row],[Task Name]]="","",IF(N(Tasks[[#This Row],[Baseline Finish]])&gt;0,Tasks[[#This Row],[Baseline Finish]],Tasks[[#This Row],[_CalcFinish]]))</f>
        <v/>
      </c>
      <c r="Y195" s="75"/>
      <c r="Z195" s="75"/>
      <c r="AA195" s="25" t="str">
        <f aca="false">IF(Tasks[[#This Row],[Task Name]]="","",IF(Tasks[[#This Row],[_IsSummary]],MIN(INDEX(Tasks[_ShownFcstStart],Tasks[[#This Row],[_Row]]+1):INDEX(Tasks[_ShownFcstStart],Tasks[[#This Row],[_Row]]+Tasks[[#This Row],[_Descendants]])),Tasks[[#This Row],[_ShownFcstStart]]))</f>
        <v/>
      </c>
      <c r="AB195" s="25" t="str">
        <f aca="false">IF(Tasks[[#This Row],[Task Name]]="","",IF(Tasks[[#This Row],[_IsSummary]],MAX(INDEX(Tasks[_ShownFcstFinish],Tasks[[#This Row],[_Row]]+1):INDEX(Tasks[_ShownFcstFinish],Tasks[[#This Row],[_Row]]+Tasks[[#This Row],[_Descendants]])),Tasks[[#This Row],[_ShownFcstFinish]]))</f>
        <v/>
      </c>
      <c r="AC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5" s="25" t="str">
        <f aca="false">IF(Tasks[[#This Row],[Task Name]]="","",IF(Tasks[[#This Row],[_IsSummary]],MIN(INDEX(Tasks[_LeafLateStart],Tasks[[#This Row],[_Row]]+1):INDEX(Tasks[_LeafLateStart],Tasks[[#This Row],[_Row]]+Tasks[[#This Row],[_Descendants]])),Tasks[[#This Row],[_LeafLateStart]]))</f>
        <v/>
      </c>
      <c r="AF195" s="25" t="str">
        <f aca="false">IF(Tasks[[#This Row],[Task Name]]="","",IF(Tasks[[#This Row],[_IsSummary]],MAX(INDEX(Tasks[_LeafLateFinish],Tasks[[#This Row],[_Row]]+1):INDEX(Tasks[_LeafLateFinish],Tasks[[#This Row],[_Row]]+Tasks[[#This Row],[_Descendants]])),Tasks[[#This Row],[_LeafLateFinish]]))</f>
        <v/>
      </c>
      <c r="AG195" s="28" t="str">
        <f aca="false">IF(Tasks[[#This Row],[Task Name]]="","",IF(Tasks[[#This Row],[_IsSummary]],MIN(INDEX(Tasks[_LeafTotalSlack],Tasks[[#This Row],[_Row]]+1):INDEX(Tasks[_LeafTotalSlack],Tasks[[#This Row],[_Row]]+Tasks[[#This Row],[_Descendants]])),Tasks[[#This Row],[_LeafTotalSlack]]))</f>
        <v/>
      </c>
      <c r="AH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5" s="28" t="str">
        <f aca="false">IF(Tasks[[#This Row],[Task Name]]="","",IF(IF(Tasks[[#This Row],[_IsSummary]],COUNTIF(INDEX(Tasks[_LeafCritical],Tasks[[#This Row],[_Row]]+1):INDEX(Tasks[_LeafCritical],Tasks[[#This Row],[_Row]]+Tasks[[#This Row],[_Descendants]]),TRUE())&gt;0,Tasks[[#This Row],[_LeafCritical]]),"Yes",""))</f>
        <v/>
      </c>
      <c r="AJ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5" s="89"/>
      <c r="AM1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5" s="28" t="str">
        <f aca="false">IF(Tasks[[#This Row],[Task Name]]="","",IF(Tasks[[#This Row],[Progress]]&gt;=1,"Complete",IF(OR(N(Tasks[[#This Row],[Actual Start]])&gt;0,Tasks[[#This Row],[Progress]]&gt;0),IF(Tasks[[#This Row],[Finish Var]]&gt;0,"Behind","In Progress"),IF(Tasks[[#This Row],[Planned Start]]&lt;StatusDate,"Late Start","Not Started"))))</f>
        <v/>
      </c>
      <c r="AO195" s="30"/>
      <c r="AP195" s="89"/>
      <c r="AQ1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5" s="96" t="str">
        <f aca="false">IF(Tasks[[#This Row],[Task Name]]="","",IF(Tasks[[#This Row],[_IsSummary]],SUM(INDEX(Tasks[_LeafTotalWork],Tasks[[#This Row],[_Row]]+1):INDEX(Tasks[_LeafTotalWork],Tasks[[#This Row],[_Row]]+Tasks[[#This Row],[_Descendants]])),Tasks[[#This Row],[_LeafTotalWork]]))</f>
        <v/>
      </c>
      <c r="AT195" s="97" t="str">
        <f aca="false">IF(Tasks[[#This Row],[Task Name]]="","",IF(Tasks[[#This Row],[_IsSummary]],SUM(INDEX(Tasks[_LeafTotalCost],Tasks[[#This Row],[_Row]]+1):INDEX(Tasks[_LeafTotalCost],Tasks[[#This Row],[_Row]]+Tasks[[#This Row],[_Descendants]])),Tasks[[#This Row],[_LeafTotalCost]]))</f>
        <v/>
      </c>
      <c r="AU195" s="98"/>
      <c r="AV195" s="29"/>
      <c r="AW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5" s="83"/>
      <c r="AY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5" s="30"/>
      <c r="BA195" s="25" t="str">
        <f aca="false">IF(Tasks[[#This Row],[Task Name]]="","",Tasks[[#This Row],[Forecast Start]])</f>
        <v/>
      </c>
      <c r="BB195" s="25" t="str">
        <f aca="false">IF(Tasks[[#This Row],[Task Name]]="","",Tasks[[#This Row],[Forecast Finish]])</f>
        <v/>
      </c>
      <c r="BC195" s="28" t="str">
        <f aca="false">IF(Tasks[[#This Row],[Task Name]]="","",IF(Tasks[[#This Row],[_IsSummary]],NETWORKDAYS.INTL(Tasks[[#This Row],[Forecast Start]],Tasks[[#This Row],[Forecast Finish]],WorkWeek,Holidays),N(Tasks[[#This Row],[Duration]])))</f>
        <v/>
      </c>
      <c r="BD195" s="96" t="str">
        <f aca="false">IF(Tasks[[#This Row],[Task Name]]="","",Tasks[[#This Row],[Work]])</f>
        <v/>
      </c>
      <c r="BE195" s="97" t="str">
        <f aca="false">IF(Tasks[[#This Row],[Task Name]]="","",Tasks[[#This Row],[Cost]])</f>
        <v/>
      </c>
      <c r="BF195" s="75"/>
      <c r="BG195" s="75"/>
      <c r="BH195" s="29"/>
      <c r="BI195" s="99"/>
      <c r="BJ195" s="98"/>
      <c r="BK195" s="28" t="str">
        <f aca="false">IF(OR(Tasks[[#This Row],[Task Name]]="",Tasks[[#This Row],[Baseline Duration]]=""),"",Tasks[[#This Row],[BL Source Duration]]-N(Tasks[[#This Row],[Baseline Duration]]))</f>
        <v/>
      </c>
      <c r="BL195" s="96" t="str">
        <f aca="false">IF(OR(Tasks[[#This Row],[Task Name]]="",Tasks[[#This Row],[Baseline Work]]=""),"",Tasks[[#This Row],[Work]]-N(Tasks[[#This Row],[Baseline Work]]))</f>
        <v/>
      </c>
      <c r="BM195" s="97" t="str">
        <f aca="false">IF(OR(Tasks[[#This Row],[Task Name]]="",Tasks[[#This Row],[Baseline Cost]]=""),"",Tasks[[#This Row],[Cost]]-N(Tasks[[#This Row],[Baseline Cost]]))</f>
        <v/>
      </c>
      <c r="BN195" s="97" t="str">
        <f aca="false">IF(Tasks[[#This Row],[Task Name]]="","",IF(Tasks[[#This Row],[_IsSummary]],SUM(INDEX(Tasks[_LeafBudget],Tasks[[#This Row],[_Row]]+1):INDEX(Tasks[_LeafBudget],Tasks[[#This Row],[_Row]]+Tasks[[#This Row],[_Descendants]])),Tasks[[#This Row],[_LeafBudget]]))</f>
        <v/>
      </c>
      <c r="BO195" s="97" t="str">
        <f aca="false">IF(Tasks[[#This Row],[Task Name]]="","",IF(Tasks[[#This Row],[_IsSummary]],SUM(INDEX(Tasks[_LeafPV],Tasks[[#This Row],[_Row]]+1):INDEX(Tasks[_LeafPV],Tasks[[#This Row],[_Row]]+Tasks[[#This Row],[_Descendants]])),Tasks[[#This Row],[_LeafPV]]))</f>
        <v/>
      </c>
      <c r="BP195" s="97" t="str">
        <f aca="false">IF(Tasks[[#This Row],[Task Name]]="","",IF(Tasks[[#This Row],[_IsSummary]],SUM(INDEX(Tasks[_LeafEV],Tasks[[#This Row],[_Row]]+1):INDEX(Tasks[_LeafEV],Tasks[[#This Row],[_Row]]+Tasks[[#This Row],[_Descendants]])),Tasks[[#This Row],[_LeafEV]]))</f>
        <v/>
      </c>
      <c r="BQ195" s="97" t="str">
        <f aca="false">IF(Tasks[[#This Row],[Task Name]]="","",IF(Tasks[[#This Row],[_IsSummary]],SUM(INDEX(Tasks[_LeafAC],Tasks[[#This Row],[_Row]]+1):INDEX(Tasks[_LeafAC],Tasks[[#This Row],[_Row]]+Tasks[[#This Row],[_Descendants]])),Tasks[[#This Row],[_LeafAC]]))</f>
        <v/>
      </c>
      <c r="BR195" s="41" t="str">
        <f aca="false">IF(Tasks[[#This Row],[Task Name]]="","",MAX(1,N(Tasks[[#This Row],[Level]])))</f>
        <v/>
      </c>
      <c r="BS195" s="41" t="n">
        <f aca="false">ROW()-ROW(Tasks[[#Headers],[ID]])</f>
        <v>190</v>
      </c>
      <c r="BT195" s="41" t="n">
        <f aca="false">IF(OR(Tasks[[#This Row],[Task Name]]="",Tasks[[#This Row],[_Level]]&lt;=1),0,IFERROR(LOOKUP(2,1/(Tasks[[#Headers],[_Level]]:Tasks[[#This Row],[_Level]]=Tasks[[#This Row],[_Level]]-1),ROW(Tasks[[#Headers],[_Level]]:Tasks[[#This Row],[_Level]])),0))</f>
        <v>0</v>
      </c>
      <c r="BU195" s="41" t="n">
        <f aca="false">IFERROR(N(INDEX(Tasks[_Level],Tasks[[#This Row],[_Row]]+1)),0)</f>
        <v>0</v>
      </c>
      <c r="BV195" s="100" t="b">
        <f aca="false">AND(Tasks[[#This Row],[Task Name]]&lt;&gt;"",Tasks[[#This Row],[_NextLevel]]&gt;Tasks[[#This Row],[_Level]])</f>
        <v>0</v>
      </c>
      <c r="BW195" s="41" t="n">
        <f aca="false">IF(Tasks[[#This Row],[_IsSummary]],COUNTIF(Tasks[WBS],Tasks[[#This Row],[WBS]]&amp;".*"),0)</f>
        <v>0</v>
      </c>
      <c r="BX195" s="41" t="n">
        <f aca="false">IF(AND(Tasks[[#This Row],[Task Name]]&lt;&gt;"",NOT(Tasks[[#This Row],[_IsSummary]])),1,0)</f>
        <v>0</v>
      </c>
      <c r="BY195" s="41" t="n">
        <f aca="false">IF(N(Tasks[[#This Row],[Pred1 UID]])=0,0,IFERROR(MATCH(Tasks[[#This Row],[Pred1 UID]],Tasks[UID],0),-1))</f>
        <v>0</v>
      </c>
      <c r="BZ195" s="41" t="n">
        <f aca="false">IF(N(Tasks[[#This Row],[Pred2 UID]])=0,0,IFERROR(MATCH(Tasks[[#This Row],[Pred2 UID]],Tasks[UID],0),-1))</f>
        <v>0</v>
      </c>
      <c r="CA195" s="41" t="n">
        <f aca="false">IF(N(Tasks[[#This Row],[Pred3 UID]])=0,0,IFERROR(MATCH(Tasks[[#This Row],[Pred3 UID]],Tasks[UID],0),-1))</f>
        <v>0</v>
      </c>
      <c r="CB195" s="41" t="n">
        <f aca="false">IF(N(Tasks[[#This Row],[Pred4 UID]])=0,0,IFERROR(MATCH(Tasks[[#This Row],[Pred4 UID]],Tasks[UID],0),-1))</f>
        <v>0</v>
      </c>
      <c r="CC1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5" s="101" t="n">
        <f aca="false">IF(OR(Tasks[[#This Row],[_ConstraintCode]]=2,Tasks[[#This Row],[_ConstraintCode]]=3,Tasks[[#This Row],[_ConstraintCode]]=4,Tasks[[#This Row],[_ConstraintCode]]=6),Tasks[[#This Row],[_ConstraintStart]],0)</f>
        <v>0</v>
      </c>
      <c r="CF195" s="101" t="n">
        <f aca="false">IF(OR(Tasks[[#This Row],[_ConstraintCode]]=2,Tasks[[#This Row],[_ConstraintCode]]=3,Tasks[[#This Row],[_ConstraintCode]]=5,Tasks[[#This Row],[_ConstraintCode]]=7),Tasks[[#This Row],[_ConstraintStart]],2958465)</f>
        <v>2958465</v>
      </c>
      <c r="CG19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5" s="101" t="str">
        <f aca="false">IF(NOT(Tasks[[#This Row],[_IsLeaf]]=1),"",IF(N(Tasks[[#This Row],[Duration]])&lt;=0,Tasks[[#This Row],[_LeafCalcStart]],WORKDAY.INTL(Tasks[[#This Row],[_LeafCalcStart]],Tasks[[#This Row],[Duration]]-1,WorkWeek,Holidays)))</f>
        <v/>
      </c>
      <c r="CI19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5" s="41" t="n">
        <f aca="false">IF(NOT(Tasks[[#This Row],[_IsLeaf]]=1),0,IF(N(Tasks[[#This Row],[Actual Finish]])&gt;0,1,MIN(1,N(Tasks[[#This Row],[% Complete]]))))</f>
        <v>0</v>
      </c>
      <c r="CL195" s="41" t="n">
        <f aca="false">IF(OR(NOT(Tasks[[#This Row],[_IsLeaf]]=1),Tasks[[#This Row],[Resource]]=""),0,N(Tasks[[#This Row],[Duration]])*HoursPerDay*IF(Tasks[[#This Row],[Units]]="",DefaultUnits,Tasks[[#This Row],[Units]]))</f>
        <v>0</v>
      </c>
      <c r="CM195" s="41" t="n">
        <f aca="false">IF(Tasks[[#This Row],[_LeafWork]]=0,0,Tasks[[#This Row],[_LeafWork]]*IFERROR(INDEX(res_Rate,MATCH(Tasks[[#This Row],[Resource]],res_Name,0)),0))</f>
        <v>0</v>
      </c>
      <c r="CN195" s="41" t="n">
        <f aca="false">Tasks[[#This Row],[_LeafWork]]+IF(Tasks[[#This Row],[_IsLeaf]]=1,SUMIFS(asg_Work,asg_TaskUID,Tasks[[#This Row],[UID]],asg_Valid,1),0)</f>
        <v>0</v>
      </c>
      <c r="CO195" s="41" t="n">
        <f aca="false">Tasks[[#This Row],[_LeafCost]]+IF(Tasks[[#This Row],[_IsLeaf]]=1,SUMIFS(asg_Cost,asg_TaskUID,Tasks[[#This Row],[UID]],asg_Valid,1),0)</f>
        <v>0</v>
      </c>
      <c r="CP195" s="41" t="n">
        <f aca="false">IF(Tasks[[#This Row],[_LeafTotalCost]]=0,Tasks[[#This Row],[_LeafAC]],Tasks[[#This Row],[_LeafAC]]*Tasks[[#This Row],[_LeafCost]]/Tasks[[#This Row],[_LeafTotalCost]])</f>
        <v>0</v>
      </c>
      <c r="CQ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5" s="41" t="n">
        <f aca="false">IF(NOT(Tasks[[#This Row],[_IsLeaf]]=1),0,MAX(_xlfn.MAXIFS(Tasks[_Row],Tasks[Pred1 UID],Tasks[[#This Row],[UID]]),_xlfn.MAXIFS(Tasks[_Row],Tasks[Pred2 UID],Tasks[[#This Row],[UID]]),_xlfn.MAXIFS(Tasks[_Row],Tasks[Pred3 UID],Tasks[[#This Row],[UID]]),_xlfn.MAXIFS(Tasks[_Row],Tasks[Pred4 UID],Tasks[[#This Row],[UID]])))</f>
        <v>0</v>
      </c>
      <c r="CZ1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5" s="101" t="str">
        <f aca="false">IF(NOT(Tasks[[#This Row],[_IsLeaf]]=1),"",IF(N(Tasks[[#This Row],[Duration]])&lt;=0,Tasks[[#This Row],[_LeafLateFinish]],WORKDAY.INTL(Tasks[[#This Row],[_LeafLateFinish]],-(Tasks[[#This Row],[Duration]]-1),WorkWeek,Holidays)))</f>
        <v/>
      </c>
      <c r="DC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5" s="100" t="b">
        <f aca="false">AND(Tasks[[#This Row],[_IsLeaf]]=1,Tasks[[#This Row],[_LeafProgress]]&lt;1,N(Tasks[[#This Row],[_LeafTotalSlack]])&lt;=CriticalSlackDays)</f>
        <v>0</v>
      </c>
      <c r="DE195" s="41" t="n">
        <f aca="false">IF(AND(Tasks[[#This Row],[_IsLeaf]]=1,Tasks[[#This Row],[_ConstraintCode]]=1,Tasks[[#This Row],[Mode]]&lt;&gt;"Manual",N(Tasks[[#This Row],[Actual Start]])=0),MAX(0,N(Tasks[[#This Row],[Free Slack]])),0)</f>
        <v>0</v>
      </c>
      <c r="DF195" s="101" t="str">
        <f aca="false">IF(NOT(Tasks[[#This Row],[_IsLeaf]]=1),"",IF(Tasks[[#This Row],[_AlapShift]]=0,Tasks[[#This Row],[_LeafCalcStart]],WORKDAY.INTL(Tasks[[#This Row],[_LeafCalcStart]],Tasks[[#This Row],[_AlapShift]],WorkWeek,Holidays)))</f>
        <v/>
      </c>
      <c r="DG195" s="101" t="str">
        <f aca="false">IF(NOT(Tasks[[#This Row],[_IsLeaf]]=1),"",IF(Tasks[[#This Row],[_AlapShift]]=0,Tasks[[#This Row],[_LeafCalcFinish]],WORKDAY.INTL(Tasks[[#This Row],[_LeafCalcFinish]],Tasks[[#This Row],[_AlapShift]],WorkWeek,Holidays)))</f>
        <v/>
      </c>
      <c r="DH195" s="101" t="str">
        <f aca="false">IF(NOT(Tasks[[#This Row],[_IsLeaf]]=1),"",IF(Tasks[[#This Row],[_AlapShift]]=0,Tasks[[#This Row],[_LeafFcstStart]],WORKDAY.INTL(Tasks[[#This Row],[_LeafFcstStart]],Tasks[[#This Row],[_AlapShift]],WorkWeek,Holidays)))</f>
        <v/>
      </c>
      <c r="DI195" s="101" t="str">
        <f aca="false">IF(NOT(Tasks[[#This Row],[_IsLeaf]]=1),"",IF(Tasks[[#This Row],[_AlapShift]]=0,Tasks[[#This Row],[_LeafFcstFinish]],WORKDAY.INTL(Tasks[[#This Row],[_LeafFcstFinish]],Tasks[[#This Row],[_AlapShift]],WorkWeek,Holidays)))</f>
        <v/>
      </c>
      <c r="DJ195" s="101" t="str">
        <f aca="false">IF(Tasks[[#This Row],[Task Name]]="","",IF(Tasks[[#This Row],[_IsSummary]],MIN(INDEX(Tasks[_ShownCalcStart],Tasks[[#This Row],[_Row]]+1):INDEX(Tasks[_ShownCalcStart],Tasks[[#This Row],[_Row]]+Tasks[[#This Row],[_Descendants]])),Tasks[[#This Row],[_ShownCalcStart]]))</f>
        <v/>
      </c>
      <c r="DK195" s="101" t="str">
        <f aca="false">IF(Tasks[[#This Row],[Task Name]]="","",IF(Tasks[[#This Row],[_IsSummary]],MAX(INDEX(Tasks[_ShownCalcFinish],Tasks[[#This Row],[_Row]]+1):INDEX(Tasks[_ShownCalcFinish],Tasks[[#This Row],[_Row]]+Tasks[[#This Row],[_Descendants]])),Tasks[[#This Row],[_ShownCalcFinish]]))</f>
        <v/>
      </c>
      <c r="D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5" s="41" t="n">
        <f aca="false">IF(AND(Tasks[[#This Row],[_IsLeaf]]=1,Tasks[[#This Row],[_LeafTotalWork]]&gt;0),NETWORKDAYS.INTL(ProjectStart,Tasks[[#This Row],[_ShownFcstStart]],WorkWeek,Holidays),0)</f>
        <v>0</v>
      </c>
      <c r="DY195" s="41" t="n">
        <f aca="false">IF(AND(Tasks[[#This Row],[_IsLeaf]]=1,Tasks[[#This Row],[_LeafTotalWork]]&gt;0),MAX(Tasks[[#This Row],[_StartWorkday]],NETWORKDAYS.INTL(ProjectStart,Tasks[[#This Row],[_ShownFcstFinish]],WorkWeek,Holidays)),0)</f>
        <v>0</v>
      </c>
      <c r="DZ195" s="41" t="n">
        <f aca="false">IF(AND(Tasks[[#This Row],[_IsLeaf]]=1,Tasks[[#This Row],[_LeafTotalWork]]&gt;0),Tasks[[#This Row],[_LeafWork]]/(Tasks[[#This Row],[_FinishWorkday]]-Tasks[[#This Row],[_StartWorkday]]+1),0)</f>
        <v>0</v>
      </c>
      <c r="EA195" s="41" t="n">
        <f aca="false">Tasks[[#This Row],[_WorkPerWorkday]]*(Tasks[[#This Row],[_StartWorkday]]-1)</f>
        <v>-0</v>
      </c>
      <c r="EB195" s="41" t="n">
        <f aca="false">IF(Tasks[[#This Row],[_IsLeaf]]=1,MAX(N(Tasks[[#This Row],[Duration]]),0.1),0)</f>
        <v>0</v>
      </c>
      <c r="EC195" s="41" t="n">
        <f aca="false">Tasks[[#This Row],[_WeightDur]]*Tasks[[#This Row],[_LeafProgress]]</f>
        <v>0</v>
      </c>
      <c r="ED1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5" s="41" t="str">
        <f aca="false">IF(AND(Tasks[[#This Row],[_IsLeaf]]=1,N(Tasks[[#This Row],[Duration]])=0,Tasks[[#This Row],[_LeafProgress]]&lt;1),Tasks[[#This Row],[_ShownFcstFinish]]+Tasks[[#This Row],[_Row]]/100000,"")</f>
        <v/>
      </c>
      <c r="EF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5" s="41" t="n">
        <f aca="false">IF(NOT(Tasks[[#This Row],[_IsLeaf]]=1),0,IF(Tasks[[#This Row],[Baseline Cost]]="",Tasks[[#This Row],[_LeafTotalCost]],N(Tasks[[#This Row],[Baseline Cost]])))</f>
        <v>0</v>
      </c>
      <c r="EH195" s="41" t="n">
        <f aca="false">Tasks[[#This Row],[_LeafBudget]]*Tasks[[#This Row],[_PlannedPct]]</f>
        <v>0</v>
      </c>
      <c r="EI195" s="41" t="n">
        <f aca="false">Tasks[[#This Row],[_LeafBudget]]*Tasks[[#This Row],[_LeafProgress]]</f>
        <v>0</v>
      </c>
      <c r="EJ195" s="41" t="n">
        <f aca="false">IF(NOT(Tasks[[#This Row],[_IsLeaf]]=1),0,IF(Tasks[[#This Row],[Actual Cost]]="",Tasks[[#This Row],[_LeafTotalCost]]*Tasks[[#This Row],[_LeafProgress]],N(Tasks[[#This Row],[Actual Cost]])))</f>
        <v>0</v>
      </c>
      <c r="EK195" s="41" t="str">
        <f aca="false">IF(Tasks[[#This Row],[Task Name]]="","",LEFT(Tasks[[#This Row],[WBS]],FIND(".",Tasks[[#This Row],[WBS]]&amp;".")-1))</f>
        <v/>
      </c>
      <c r="EL195" s="41" t="str">
        <f aca="false">IF(AND(Tasks[[#This Row],[Task Name]]&lt;&gt;"",Tasks[[#This Row],[_Level]]=1),Tasks[[#This Row],[_Row]],"")</f>
        <v/>
      </c>
      <c r="EM195" s="41" t="str">
        <f aca="false">IF(AND(Tasks[[#This Row],[_IsLeaf]]=1,N(Tasks[[#This Row],[Duration]])=0),Tasks[[#This Row],[Planned Finish]]+Tasks[[#This Row],[_Row]]/100000,"")</f>
        <v/>
      </c>
      <c r="EN195" s="41" t="str">
        <f aca="false">IF(AND(Tasks[[#This Row],[_IsLeaf]]=1,Tasks[[#This Row],[_LeafProgress]]&lt;1,OR(N(Tasks[[#This Row],[Finish Var]])&gt;0,Tasks[[#This Row],[Status]]="Late Start")),MAX(0,Tasks[[#This Row],[Finish Var]])+1-Tasks[[#This Row],[_Row]]/1000000,"")</f>
        <v/>
      </c>
      <c r="EO195" s="41" t="str">
        <f aca="false">IF(AND(Tasks[[#This Row],[_IsLeaf]]=1,N(Tasks[[#This Row],[Actual Start]])=0,Tasks[[#This Row],[_ShownFcstStart]]&gt;=StatusDate,Tasks[[#This Row],[_ShownFcstStart]]&lt;=LookaheadEnd),Tasks[[#This Row],[_ShownFcstStart]]+Tasks[[#This Row],[_Row]]/100000,"")</f>
        <v/>
      </c>
      <c r="EP195" s="41" t="str">
        <f aca="false">IF(AND(Tasks[[#This Row],[_IsLeaf]]=1,Tasks[[#This Row],[_LeafProgress]]&lt;1,Tasks[[#This Row],[_ShownFcstFinish]]&gt;=StatusDate,Tasks[[#This Row],[_ShownFcstFinish]]&lt;=LookaheadEnd),Tasks[[#This Row],[_ShownFcstFinish]]+Tasks[[#This Row],[_Row]]/100000,"")</f>
        <v/>
      </c>
      <c r="EQ195" s="41" t="str">
        <f aca="false">IF(Tasks[[#This Row],[_LeafCritical]],Tasks[[#This Row],[_ShownFcstStart]]+Tasks[[#This Row],[_Row]]/100000,"")</f>
        <v/>
      </c>
      <c r="ER195" s="41" t="n">
        <f aca="false">Tasks[[#This Row],[_LeafWork]]*Tasks[[#This Row],[_LeafProgress]]</f>
        <v>0</v>
      </c>
      <c r="ES195" s="101" t="str">
        <f aca="false">IF(AND(Tasks[[#This Row],[_IsLeaf]]=1,Tasks[[#This Row],[_LeafProgress]]&gt;=1),IF(N(Tasks[[#This Row],[Actual Finish]])&gt;0,Tasks[[#This Row],[Actual Finish]],Tasks[[#This Row],[_ShownFcstFinish]]),"")</f>
        <v/>
      </c>
      <c r="ET195" s="41" t="n">
        <f aca="false">IF(Tasks[[#This Row],[_IsLeaf]]=1,N(Tasks[[#This Row],[Story Points]]),0)</f>
        <v>0</v>
      </c>
      <c r="EU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29"/>
      <c r="O196" s="29"/>
      <c r="P196" s="29"/>
      <c r="Q196" s="29"/>
      <c r="R196" s="29"/>
      <c r="S196" s="29"/>
      <c r="T196" s="30"/>
      <c r="U196" s="75"/>
      <c r="V196" s="75"/>
      <c r="W196" s="25" t="str">
        <f aca="false">IF(Tasks[[#This Row],[Task Name]]="","",IF(N(Tasks[[#This Row],[Baseline Start]])&gt;0,Tasks[[#This Row],[Baseline Start]],Tasks[[#This Row],[_CalcStart]]))</f>
        <v/>
      </c>
      <c r="X196" s="25" t="str">
        <f aca="false">IF(Tasks[[#This Row],[Task Name]]="","",IF(N(Tasks[[#This Row],[Baseline Finish]])&gt;0,Tasks[[#This Row],[Baseline Finish]],Tasks[[#This Row],[_CalcFinish]]))</f>
        <v/>
      </c>
      <c r="Y196" s="75"/>
      <c r="Z196" s="75"/>
      <c r="AA196" s="25" t="str">
        <f aca="false">IF(Tasks[[#This Row],[Task Name]]="","",IF(Tasks[[#This Row],[_IsSummary]],MIN(INDEX(Tasks[_ShownFcstStart],Tasks[[#This Row],[_Row]]+1):INDEX(Tasks[_ShownFcstStart],Tasks[[#This Row],[_Row]]+Tasks[[#This Row],[_Descendants]])),Tasks[[#This Row],[_ShownFcstStart]]))</f>
        <v/>
      </c>
      <c r="AB196" s="25" t="str">
        <f aca="false">IF(Tasks[[#This Row],[Task Name]]="","",IF(Tasks[[#This Row],[_IsSummary]],MAX(INDEX(Tasks[_ShownFcstFinish],Tasks[[#This Row],[_Row]]+1):INDEX(Tasks[_ShownFcstFinish],Tasks[[#This Row],[_Row]]+Tasks[[#This Row],[_Descendants]])),Tasks[[#This Row],[_ShownFcstFinish]]))</f>
        <v/>
      </c>
      <c r="AC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6" s="25" t="str">
        <f aca="false">IF(Tasks[[#This Row],[Task Name]]="","",IF(Tasks[[#This Row],[_IsSummary]],MIN(INDEX(Tasks[_LeafLateStart],Tasks[[#This Row],[_Row]]+1):INDEX(Tasks[_LeafLateStart],Tasks[[#This Row],[_Row]]+Tasks[[#This Row],[_Descendants]])),Tasks[[#This Row],[_LeafLateStart]]))</f>
        <v/>
      </c>
      <c r="AF196" s="25" t="str">
        <f aca="false">IF(Tasks[[#This Row],[Task Name]]="","",IF(Tasks[[#This Row],[_IsSummary]],MAX(INDEX(Tasks[_LeafLateFinish],Tasks[[#This Row],[_Row]]+1):INDEX(Tasks[_LeafLateFinish],Tasks[[#This Row],[_Row]]+Tasks[[#This Row],[_Descendants]])),Tasks[[#This Row],[_LeafLateFinish]]))</f>
        <v/>
      </c>
      <c r="AG196" s="28" t="str">
        <f aca="false">IF(Tasks[[#This Row],[Task Name]]="","",IF(Tasks[[#This Row],[_IsSummary]],MIN(INDEX(Tasks[_LeafTotalSlack],Tasks[[#This Row],[_Row]]+1):INDEX(Tasks[_LeafTotalSlack],Tasks[[#This Row],[_Row]]+Tasks[[#This Row],[_Descendants]])),Tasks[[#This Row],[_LeafTotalSlack]]))</f>
        <v/>
      </c>
      <c r="AH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6" s="28" t="str">
        <f aca="false">IF(Tasks[[#This Row],[Task Name]]="","",IF(IF(Tasks[[#This Row],[_IsSummary]],COUNTIF(INDEX(Tasks[_LeafCritical],Tasks[[#This Row],[_Row]]+1):INDEX(Tasks[_LeafCritical],Tasks[[#This Row],[_Row]]+Tasks[[#This Row],[_Descendants]]),TRUE())&gt;0,Tasks[[#This Row],[_LeafCritical]]),"Yes",""))</f>
        <v/>
      </c>
      <c r="AJ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6" s="89"/>
      <c r="AM1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6" s="28" t="str">
        <f aca="false">IF(Tasks[[#This Row],[Task Name]]="","",IF(Tasks[[#This Row],[Progress]]&gt;=1,"Complete",IF(OR(N(Tasks[[#This Row],[Actual Start]])&gt;0,Tasks[[#This Row],[Progress]]&gt;0),IF(Tasks[[#This Row],[Finish Var]]&gt;0,"Behind","In Progress"),IF(Tasks[[#This Row],[Planned Start]]&lt;StatusDate,"Late Start","Not Started"))))</f>
        <v/>
      </c>
      <c r="AO196" s="30"/>
      <c r="AP196" s="89"/>
      <c r="AQ1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6" s="96" t="str">
        <f aca="false">IF(Tasks[[#This Row],[Task Name]]="","",IF(Tasks[[#This Row],[_IsSummary]],SUM(INDEX(Tasks[_LeafTotalWork],Tasks[[#This Row],[_Row]]+1):INDEX(Tasks[_LeafTotalWork],Tasks[[#This Row],[_Row]]+Tasks[[#This Row],[_Descendants]])),Tasks[[#This Row],[_LeafTotalWork]]))</f>
        <v/>
      </c>
      <c r="AT196" s="97" t="str">
        <f aca="false">IF(Tasks[[#This Row],[Task Name]]="","",IF(Tasks[[#This Row],[_IsSummary]],SUM(INDEX(Tasks[_LeafTotalCost],Tasks[[#This Row],[_Row]]+1):INDEX(Tasks[_LeafTotalCost],Tasks[[#This Row],[_Row]]+Tasks[[#This Row],[_Descendants]])),Tasks[[#This Row],[_LeafTotalCost]]))</f>
        <v/>
      </c>
      <c r="AU196" s="98"/>
      <c r="AV196" s="29"/>
      <c r="AW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6" s="83"/>
      <c r="AY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6" s="30"/>
      <c r="BA196" s="25" t="str">
        <f aca="false">IF(Tasks[[#This Row],[Task Name]]="","",Tasks[[#This Row],[Forecast Start]])</f>
        <v/>
      </c>
      <c r="BB196" s="25" t="str">
        <f aca="false">IF(Tasks[[#This Row],[Task Name]]="","",Tasks[[#This Row],[Forecast Finish]])</f>
        <v/>
      </c>
      <c r="BC196" s="28" t="str">
        <f aca="false">IF(Tasks[[#This Row],[Task Name]]="","",IF(Tasks[[#This Row],[_IsSummary]],NETWORKDAYS.INTL(Tasks[[#This Row],[Forecast Start]],Tasks[[#This Row],[Forecast Finish]],WorkWeek,Holidays),N(Tasks[[#This Row],[Duration]])))</f>
        <v/>
      </c>
      <c r="BD196" s="96" t="str">
        <f aca="false">IF(Tasks[[#This Row],[Task Name]]="","",Tasks[[#This Row],[Work]])</f>
        <v/>
      </c>
      <c r="BE196" s="97" t="str">
        <f aca="false">IF(Tasks[[#This Row],[Task Name]]="","",Tasks[[#This Row],[Cost]])</f>
        <v/>
      </c>
      <c r="BF196" s="75"/>
      <c r="BG196" s="75"/>
      <c r="BH196" s="29"/>
      <c r="BI196" s="99"/>
      <c r="BJ196" s="98"/>
      <c r="BK196" s="28" t="str">
        <f aca="false">IF(OR(Tasks[[#This Row],[Task Name]]="",Tasks[[#This Row],[Baseline Duration]]=""),"",Tasks[[#This Row],[BL Source Duration]]-N(Tasks[[#This Row],[Baseline Duration]]))</f>
        <v/>
      </c>
      <c r="BL196" s="96" t="str">
        <f aca="false">IF(OR(Tasks[[#This Row],[Task Name]]="",Tasks[[#This Row],[Baseline Work]]=""),"",Tasks[[#This Row],[Work]]-N(Tasks[[#This Row],[Baseline Work]]))</f>
        <v/>
      </c>
      <c r="BM196" s="97" t="str">
        <f aca="false">IF(OR(Tasks[[#This Row],[Task Name]]="",Tasks[[#This Row],[Baseline Cost]]=""),"",Tasks[[#This Row],[Cost]]-N(Tasks[[#This Row],[Baseline Cost]]))</f>
        <v/>
      </c>
      <c r="BN196" s="97" t="str">
        <f aca="false">IF(Tasks[[#This Row],[Task Name]]="","",IF(Tasks[[#This Row],[_IsSummary]],SUM(INDEX(Tasks[_LeafBudget],Tasks[[#This Row],[_Row]]+1):INDEX(Tasks[_LeafBudget],Tasks[[#This Row],[_Row]]+Tasks[[#This Row],[_Descendants]])),Tasks[[#This Row],[_LeafBudget]]))</f>
        <v/>
      </c>
      <c r="BO196" s="97" t="str">
        <f aca="false">IF(Tasks[[#This Row],[Task Name]]="","",IF(Tasks[[#This Row],[_IsSummary]],SUM(INDEX(Tasks[_LeafPV],Tasks[[#This Row],[_Row]]+1):INDEX(Tasks[_LeafPV],Tasks[[#This Row],[_Row]]+Tasks[[#This Row],[_Descendants]])),Tasks[[#This Row],[_LeafPV]]))</f>
        <v/>
      </c>
      <c r="BP196" s="97" t="str">
        <f aca="false">IF(Tasks[[#This Row],[Task Name]]="","",IF(Tasks[[#This Row],[_IsSummary]],SUM(INDEX(Tasks[_LeafEV],Tasks[[#This Row],[_Row]]+1):INDEX(Tasks[_LeafEV],Tasks[[#This Row],[_Row]]+Tasks[[#This Row],[_Descendants]])),Tasks[[#This Row],[_LeafEV]]))</f>
        <v/>
      </c>
      <c r="BQ196" s="97" t="str">
        <f aca="false">IF(Tasks[[#This Row],[Task Name]]="","",IF(Tasks[[#This Row],[_IsSummary]],SUM(INDEX(Tasks[_LeafAC],Tasks[[#This Row],[_Row]]+1):INDEX(Tasks[_LeafAC],Tasks[[#This Row],[_Row]]+Tasks[[#This Row],[_Descendants]])),Tasks[[#This Row],[_LeafAC]]))</f>
        <v/>
      </c>
      <c r="BR196" s="41" t="str">
        <f aca="false">IF(Tasks[[#This Row],[Task Name]]="","",MAX(1,N(Tasks[[#This Row],[Level]])))</f>
        <v/>
      </c>
      <c r="BS196" s="41" t="n">
        <f aca="false">ROW()-ROW(Tasks[[#Headers],[ID]])</f>
        <v>191</v>
      </c>
      <c r="BT196" s="41" t="n">
        <f aca="false">IF(OR(Tasks[[#This Row],[Task Name]]="",Tasks[[#This Row],[_Level]]&lt;=1),0,IFERROR(LOOKUP(2,1/(Tasks[[#Headers],[_Level]]:Tasks[[#This Row],[_Level]]=Tasks[[#This Row],[_Level]]-1),ROW(Tasks[[#Headers],[_Level]]:Tasks[[#This Row],[_Level]])),0))</f>
        <v>0</v>
      </c>
      <c r="BU196" s="41" t="n">
        <f aca="false">IFERROR(N(INDEX(Tasks[_Level],Tasks[[#This Row],[_Row]]+1)),0)</f>
        <v>0</v>
      </c>
      <c r="BV196" s="100" t="b">
        <f aca="false">AND(Tasks[[#This Row],[Task Name]]&lt;&gt;"",Tasks[[#This Row],[_NextLevel]]&gt;Tasks[[#This Row],[_Level]])</f>
        <v>0</v>
      </c>
      <c r="BW196" s="41" t="n">
        <f aca="false">IF(Tasks[[#This Row],[_IsSummary]],COUNTIF(Tasks[WBS],Tasks[[#This Row],[WBS]]&amp;".*"),0)</f>
        <v>0</v>
      </c>
      <c r="BX196" s="41" t="n">
        <f aca="false">IF(AND(Tasks[[#This Row],[Task Name]]&lt;&gt;"",NOT(Tasks[[#This Row],[_IsSummary]])),1,0)</f>
        <v>0</v>
      </c>
      <c r="BY196" s="41" t="n">
        <f aca="false">IF(N(Tasks[[#This Row],[Pred1 UID]])=0,0,IFERROR(MATCH(Tasks[[#This Row],[Pred1 UID]],Tasks[UID],0),-1))</f>
        <v>0</v>
      </c>
      <c r="BZ196" s="41" t="n">
        <f aca="false">IF(N(Tasks[[#This Row],[Pred2 UID]])=0,0,IFERROR(MATCH(Tasks[[#This Row],[Pred2 UID]],Tasks[UID],0),-1))</f>
        <v>0</v>
      </c>
      <c r="CA196" s="41" t="n">
        <f aca="false">IF(N(Tasks[[#This Row],[Pred3 UID]])=0,0,IFERROR(MATCH(Tasks[[#This Row],[Pred3 UID]],Tasks[UID],0),-1))</f>
        <v>0</v>
      </c>
      <c r="CB196" s="41" t="n">
        <f aca="false">IF(N(Tasks[[#This Row],[Pred4 UID]])=0,0,IFERROR(MATCH(Tasks[[#This Row],[Pred4 UID]],Tasks[UID],0),-1))</f>
        <v>0</v>
      </c>
      <c r="CC1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6" s="101" t="n">
        <f aca="false">IF(OR(Tasks[[#This Row],[_ConstraintCode]]=2,Tasks[[#This Row],[_ConstraintCode]]=3,Tasks[[#This Row],[_ConstraintCode]]=4,Tasks[[#This Row],[_ConstraintCode]]=6),Tasks[[#This Row],[_ConstraintStart]],0)</f>
        <v>0</v>
      </c>
      <c r="CF196" s="101" t="n">
        <f aca="false">IF(OR(Tasks[[#This Row],[_ConstraintCode]]=2,Tasks[[#This Row],[_ConstraintCode]]=3,Tasks[[#This Row],[_ConstraintCode]]=5,Tasks[[#This Row],[_ConstraintCode]]=7),Tasks[[#This Row],[_ConstraintStart]],2958465)</f>
        <v>2958465</v>
      </c>
      <c r="CG19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6" s="101" t="str">
        <f aca="false">IF(NOT(Tasks[[#This Row],[_IsLeaf]]=1),"",IF(N(Tasks[[#This Row],[Duration]])&lt;=0,Tasks[[#This Row],[_LeafCalcStart]],WORKDAY.INTL(Tasks[[#This Row],[_LeafCalcStart]],Tasks[[#This Row],[Duration]]-1,WorkWeek,Holidays)))</f>
        <v/>
      </c>
      <c r="CI19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6" s="41" t="n">
        <f aca="false">IF(NOT(Tasks[[#This Row],[_IsLeaf]]=1),0,IF(N(Tasks[[#This Row],[Actual Finish]])&gt;0,1,MIN(1,N(Tasks[[#This Row],[% Complete]]))))</f>
        <v>0</v>
      </c>
      <c r="CL196" s="41" t="n">
        <f aca="false">IF(OR(NOT(Tasks[[#This Row],[_IsLeaf]]=1),Tasks[[#This Row],[Resource]]=""),0,N(Tasks[[#This Row],[Duration]])*HoursPerDay*IF(Tasks[[#This Row],[Units]]="",DefaultUnits,Tasks[[#This Row],[Units]]))</f>
        <v>0</v>
      </c>
      <c r="CM196" s="41" t="n">
        <f aca="false">IF(Tasks[[#This Row],[_LeafWork]]=0,0,Tasks[[#This Row],[_LeafWork]]*IFERROR(INDEX(res_Rate,MATCH(Tasks[[#This Row],[Resource]],res_Name,0)),0))</f>
        <v>0</v>
      </c>
      <c r="CN196" s="41" t="n">
        <f aca="false">Tasks[[#This Row],[_LeafWork]]+IF(Tasks[[#This Row],[_IsLeaf]]=1,SUMIFS(asg_Work,asg_TaskUID,Tasks[[#This Row],[UID]],asg_Valid,1),0)</f>
        <v>0</v>
      </c>
      <c r="CO196" s="41" t="n">
        <f aca="false">Tasks[[#This Row],[_LeafCost]]+IF(Tasks[[#This Row],[_IsLeaf]]=1,SUMIFS(asg_Cost,asg_TaskUID,Tasks[[#This Row],[UID]],asg_Valid,1),0)</f>
        <v>0</v>
      </c>
      <c r="CP196" s="41" t="n">
        <f aca="false">IF(Tasks[[#This Row],[_LeafTotalCost]]=0,Tasks[[#This Row],[_LeafAC]],Tasks[[#This Row],[_LeafAC]]*Tasks[[#This Row],[_LeafCost]]/Tasks[[#This Row],[_LeafTotalCost]])</f>
        <v>0</v>
      </c>
      <c r="CQ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6" s="41" t="n">
        <f aca="false">IF(NOT(Tasks[[#This Row],[_IsLeaf]]=1),0,MAX(_xlfn.MAXIFS(Tasks[_Row],Tasks[Pred1 UID],Tasks[[#This Row],[UID]]),_xlfn.MAXIFS(Tasks[_Row],Tasks[Pred2 UID],Tasks[[#This Row],[UID]]),_xlfn.MAXIFS(Tasks[_Row],Tasks[Pred3 UID],Tasks[[#This Row],[UID]]),_xlfn.MAXIFS(Tasks[_Row],Tasks[Pred4 UID],Tasks[[#This Row],[UID]])))</f>
        <v>0</v>
      </c>
      <c r="CZ1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6" s="101" t="str">
        <f aca="false">IF(NOT(Tasks[[#This Row],[_IsLeaf]]=1),"",IF(N(Tasks[[#This Row],[Duration]])&lt;=0,Tasks[[#This Row],[_LeafLateFinish]],WORKDAY.INTL(Tasks[[#This Row],[_LeafLateFinish]],-(Tasks[[#This Row],[Duration]]-1),WorkWeek,Holidays)))</f>
        <v/>
      </c>
      <c r="DC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6" s="100" t="b">
        <f aca="false">AND(Tasks[[#This Row],[_IsLeaf]]=1,Tasks[[#This Row],[_LeafProgress]]&lt;1,N(Tasks[[#This Row],[_LeafTotalSlack]])&lt;=CriticalSlackDays)</f>
        <v>0</v>
      </c>
      <c r="DE196" s="41" t="n">
        <f aca="false">IF(AND(Tasks[[#This Row],[_IsLeaf]]=1,Tasks[[#This Row],[_ConstraintCode]]=1,Tasks[[#This Row],[Mode]]&lt;&gt;"Manual",N(Tasks[[#This Row],[Actual Start]])=0),MAX(0,N(Tasks[[#This Row],[Free Slack]])),0)</f>
        <v>0</v>
      </c>
      <c r="DF196" s="101" t="str">
        <f aca="false">IF(NOT(Tasks[[#This Row],[_IsLeaf]]=1),"",IF(Tasks[[#This Row],[_AlapShift]]=0,Tasks[[#This Row],[_LeafCalcStart]],WORKDAY.INTL(Tasks[[#This Row],[_LeafCalcStart]],Tasks[[#This Row],[_AlapShift]],WorkWeek,Holidays)))</f>
        <v/>
      </c>
      <c r="DG196" s="101" t="str">
        <f aca="false">IF(NOT(Tasks[[#This Row],[_IsLeaf]]=1),"",IF(Tasks[[#This Row],[_AlapShift]]=0,Tasks[[#This Row],[_LeafCalcFinish]],WORKDAY.INTL(Tasks[[#This Row],[_LeafCalcFinish]],Tasks[[#This Row],[_AlapShift]],WorkWeek,Holidays)))</f>
        <v/>
      </c>
      <c r="DH196" s="101" t="str">
        <f aca="false">IF(NOT(Tasks[[#This Row],[_IsLeaf]]=1),"",IF(Tasks[[#This Row],[_AlapShift]]=0,Tasks[[#This Row],[_LeafFcstStart]],WORKDAY.INTL(Tasks[[#This Row],[_LeafFcstStart]],Tasks[[#This Row],[_AlapShift]],WorkWeek,Holidays)))</f>
        <v/>
      </c>
      <c r="DI196" s="101" t="str">
        <f aca="false">IF(NOT(Tasks[[#This Row],[_IsLeaf]]=1),"",IF(Tasks[[#This Row],[_AlapShift]]=0,Tasks[[#This Row],[_LeafFcstFinish]],WORKDAY.INTL(Tasks[[#This Row],[_LeafFcstFinish]],Tasks[[#This Row],[_AlapShift]],WorkWeek,Holidays)))</f>
        <v/>
      </c>
      <c r="DJ196" s="101" t="str">
        <f aca="false">IF(Tasks[[#This Row],[Task Name]]="","",IF(Tasks[[#This Row],[_IsSummary]],MIN(INDEX(Tasks[_ShownCalcStart],Tasks[[#This Row],[_Row]]+1):INDEX(Tasks[_ShownCalcStart],Tasks[[#This Row],[_Row]]+Tasks[[#This Row],[_Descendants]])),Tasks[[#This Row],[_ShownCalcStart]]))</f>
        <v/>
      </c>
      <c r="DK196" s="101" t="str">
        <f aca="false">IF(Tasks[[#This Row],[Task Name]]="","",IF(Tasks[[#This Row],[_IsSummary]],MAX(INDEX(Tasks[_ShownCalcFinish],Tasks[[#This Row],[_Row]]+1):INDEX(Tasks[_ShownCalcFinish],Tasks[[#This Row],[_Row]]+Tasks[[#This Row],[_Descendants]])),Tasks[[#This Row],[_ShownCalcFinish]]))</f>
        <v/>
      </c>
      <c r="D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6" s="41" t="n">
        <f aca="false">IF(AND(Tasks[[#This Row],[_IsLeaf]]=1,Tasks[[#This Row],[_LeafTotalWork]]&gt;0),NETWORKDAYS.INTL(ProjectStart,Tasks[[#This Row],[_ShownFcstStart]],WorkWeek,Holidays),0)</f>
        <v>0</v>
      </c>
      <c r="DY196" s="41" t="n">
        <f aca="false">IF(AND(Tasks[[#This Row],[_IsLeaf]]=1,Tasks[[#This Row],[_LeafTotalWork]]&gt;0),MAX(Tasks[[#This Row],[_StartWorkday]],NETWORKDAYS.INTL(ProjectStart,Tasks[[#This Row],[_ShownFcstFinish]],WorkWeek,Holidays)),0)</f>
        <v>0</v>
      </c>
      <c r="DZ196" s="41" t="n">
        <f aca="false">IF(AND(Tasks[[#This Row],[_IsLeaf]]=1,Tasks[[#This Row],[_LeafTotalWork]]&gt;0),Tasks[[#This Row],[_LeafWork]]/(Tasks[[#This Row],[_FinishWorkday]]-Tasks[[#This Row],[_StartWorkday]]+1),0)</f>
        <v>0</v>
      </c>
      <c r="EA196" s="41" t="n">
        <f aca="false">Tasks[[#This Row],[_WorkPerWorkday]]*(Tasks[[#This Row],[_StartWorkday]]-1)</f>
        <v>-0</v>
      </c>
      <c r="EB196" s="41" t="n">
        <f aca="false">IF(Tasks[[#This Row],[_IsLeaf]]=1,MAX(N(Tasks[[#This Row],[Duration]]),0.1),0)</f>
        <v>0</v>
      </c>
      <c r="EC196" s="41" t="n">
        <f aca="false">Tasks[[#This Row],[_WeightDur]]*Tasks[[#This Row],[_LeafProgress]]</f>
        <v>0</v>
      </c>
      <c r="ED1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6" s="41" t="str">
        <f aca="false">IF(AND(Tasks[[#This Row],[_IsLeaf]]=1,N(Tasks[[#This Row],[Duration]])=0,Tasks[[#This Row],[_LeafProgress]]&lt;1),Tasks[[#This Row],[_ShownFcstFinish]]+Tasks[[#This Row],[_Row]]/100000,"")</f>
        <v/>
      </c>
      <c r="EF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6" s="41" t="n">
        <f aca="false">IF(NOT(Tasks[[#This Row],[_IsLeaf]]=1),0,IF(Tasks[[#This Row],[Baseline Cost]]="",Tasks[[#This Row],[_LeafTotalCost]],N(Tasks[[#This Row],[Baseline Cost]])))</f>
        <v>0</v>
      </c>
      <c r="EH196" s="41" t="n">
        <f aca="false">Tasks[[#This Row],[_LeafBudget]]*Tasks[[#This Row],[_PlannedPct]]</f>
        <v>0</v>
      </c>
      <c r="EI196" s="41" t="n">
        <f aca="false">Tasks[[#This Row],[_LeafBudget]]*Tasks[[#This Row],[_LeafProgress]]</f>
        <v>0</v>
      </c>
      <c r="EJ196" s="41" t="n">
        <f aca="false">IF(NOT(Tasks[[#This Row],[_IsLeaf]]=1),0,IF(Tasks[[#This Row],[Actual Cost]]="",Tasks[[#This Row],[_LeafTotalCost]]*Tasks[[#This Row],[_LeafProgress]],N(Tasks[[#This Row],[Actual Cost]])))</f>
        <v>0</v>
      </c>
      <c r="EK196" s="41" t="str">
        <f aca="false">IF(Tasks[[#This Row],[Task Name]]="","",LEFT(Tasks[[#This Row],[WBS]],FIND(".",Tasks[[#This Row],[WBS]]&amp;".")-1))</f>
        <v/>
      </c>
      <c r="EL196" s="41" t="str">
        <f aca="false">IF(AND(Tasks[[#This Row],[Task Name]]&lt;&gt;"",Tasks[[#This Row],[_Level]]=1),Tasks[[#This Row],[_Row]],"")</f>
        <v/>
      </c>
      <c r="EM196" s="41" t="str">
        <f aca="false">IF(AND(Tasks[[#This Row],[_IsLeaf]]=1,N(Tasks[[#This Row],[Duration]])=0),Tasks[[#This Row],[Planned Finish]]+Tasks[[#This Row],[_Row]]/100000,"")</f>
        <v/>
      </c>
      <c r="EN196" s="41" t="str">
        <f aca="false">IF(AND(Tasks[[#This Row],[_IsLeaf]]=1,Tasks[[#This Row],[_LeafProgress]]&lt;1,OR(N(Tasks[[#This Row],[Finish Var]])&gt;0,Tasks[[#This Row],[Status]]="Late Start")),MAX(0,Tasks[[#This Row],[Finish Var]])+1-Tasks[[#This Row],[_Row]]/1000000,"")</f>
        <v/>
      </c>
      <c r="EO196" s="41" t="str">
        <f aca="false">IF(AND(Tasks[[#This Row],[_IsLeaf]]=1,N(Tasks[[#This Row],[Actual Start]])=0,Tasks[[#This Row],[_ShownFcstStart]]&gt;=StatusDate,Tasks[[#This Row],[_ShownFcstStart]]&lt;=LookaheadEnd),Tasks[[#This Row],[_ShownFcstStart]]+Tasks[[#This Row],[_Row]]/100000,"")</f>
        <v/>
      </c>
      <c r="EP196" s="41" t="str">
        <f aca="false">IF(AND(Tasks[[#This Row],[_IsLeaf]]=1,Tasks[[#This Row],[_LeafProgress]]&lt;1,Tasks[[#This Row],[_ShownFcstFinish]]&gt;=StatusDate,Tasks[[#This Row],[_ShownFcstFinish]]&lt;=LookaheadEnd),Tasks[[#This Row],[_ShownFcstFinish]]+Tasks[[#This Row],[_Row]]/100000,"")</f>
        <v/>
      </c>
      <c r="EQ196" s="41" t="str">
        <f aca="false">IF(Tasks[[#This Row],[_LeafCritical]],Tasks[[#This Row],[_ShownFcstStart]]+Tasks[[#This Row],[_Row]]/100000,"")</f>
        <v/>
      </c>
      <c r="ER196" s="41" t="n">
        <f aca="false">Tasks[[#This Row],[_LeafWork]]*Tasks[[#This Row],[_LeafProgress]]</f>
        <v>0</v>
      </c>
      <c r="ES196" s="101" t="str">
        <f aca="false">IF(AND(Tasks[[#This Row],[_IsLeaf]]=1,Tasks[[#This Row],[_LeafProgress]]&gt;=1),IF(N(Tasks[[#This Row],[Actual Finish]])&gt;0,Tasks[[#This Row],[Actual Finish]],Tasks[[#This Row],[_ShownFcstFinish]]),"")</f>
        <v/>
      </c>
      <c r="ET196" s="41" t="n">
        <f aca="false">IF(Tasks[[#This Row],[_IsLeaf]]=1,N(Tasks[[#This Row],[Story Points]]),0)</f>
        <v>0</v>
      </c>
      <c r="EU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29"/>
      <c r="O197" s="29"/>
      <c r="P197" s="29"/>
      <c r="Q197" s="29"/>
      <c r="R197" s="29"/>
      <c r="S197" s="29"/>
      <c r="T197" s="30"/>
      <c r="U197" s="75"/>
      <c r="V197" s="75"/>
      <c r="W197" s="25" t="str">
        <f aca="false">IF(Tasks[[#This Row],[Task Name]]="","",IF(N(Tasks[[#This Row],[Baseline Start]])&gt;0,Tasks[[#This Row],[Baseline Start]],Tasks[[#This Row],[_CalcStart]]))</f>
        <v/>
      </c>
      <c r="X197" s="25" t="str">
        <f aca="false">IF(Tasks[[#This Row],[Task Name]]="","",IF(N(Tasks[[#This Row],[Baseline Finish]])&gt;0,Tasks[[#This Row],[Baseline Finish]],Tasks[[#This Row],[_CalcFinish]]))</f>
        <v/>
      </c>
      <c r="Y197" s="75"/>
      <c r="Z197" s="75"/>
      <c r="AA197" s="25" t="str">
        <f aca="false">IF(Tasks[[#This Row],[Task Name]]="","",IF(Tasks[[#This Row],[_IsSummary]],MIN(INDEX(Tasks[_ShownFcstStart],Tasks[[#This Row],[_Row]]+1):INDEX(Tasks[_ShownFcstStart],Tasks[[#This Row],[_Row]]+Tasks[[#This Row],[_Descendants]])),Tasks[[#This Row],[_ShownFcstStart]]))</f>
        <v/>
      </c>
      <c r="AB197" s="25" t="str">
        <f aca="false">IF(Tasks[[#This Row],[Task Name]]="","",IF(Tasks[[#This Row],[_IsSummary]],MAX(INDEX(Tasks[_ShownFcstFinish],Tasks[[#This Row],[_Row]]+1):INDEX(Tasks[_ShownFcstFinish],Tasks[[#This Row],[_Row]]+Tasks[[#This Row],[_Descendants]])),Tasks[[#This Row],[_ShownFcstFinish]]))</f>
        <v/>
      </c>
      <c r="AC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7" s="25" t="str">
        <f aca="false">IF(Tasks[[#This Row],[Task Name]]="","",IF(Tasks[[#This Row],[_IsSummary]],MIN(INDEX(Tasks[_LeafLateStart],Tasks[[#This Row],[_Row]]+1):INDEX(Tasks[_LeafLateStart],Tasks[[#This Row],[_Row]]+Tasks[[#This Row],[_Descendants]])),Tasks[[#This Row],[_LeafLateStart]]))</f>
        <v/>
      </c>
      <c r="AF197" s="25" t="str">
        <f aca="false">IF(Tasks[[#This Row],[Task Name]]="","",IF(Tasks[[#This Row],[_IsSummary]],MAX(INDEX(Tasks[_LeafLateFinish],Tasks[[#This Row],[_Row]]+1):INDEX(Tasks[_LeafLateFinish],Tasks[[#This Row],[_Row]]+Tasks[[#This Row],[_Descendants]])),Tasks[[#This Row],[_LeafLateFinish]]))</f>
        <v/>
      </c>
      <c r="AG197" s="28" t="str">
        <f aca="false">IF(Tasks[[#This Row],[Task Name]]="","",IF(Tasks[[#This Row],[_IsSummary]],MIN(INDEX(Tasks[_LeafTotalSlack],Tasks[[#This Row],[_Row]]+1):INDEX(Tasks[_LeafTotalSlack],Tasks[[#This Row],[_Row]]+Tasks[[#This Row],[_Descendants]])),Tasks[[#This Row],[_LeafTotalSlack]]))</f>
        <v/>
      </c>
      <c r="AH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7" s="28" t="str">
        <f aca="false">IF(Tasks[[#This Row],[Task Name]]="","",IF(IF(Tasks[[#This Row],[_IsSummary]],COUNTIF(INDEX(Tasks[_LeafCritical],Tasks[[#This Row],[_Row]]+1):INDEX(Tasks[_LeafCritical],Tasks[[#This Row],[_Row]]+Tasks[[#This Row],[_Descendants]]),TRUE())&gt;0,Tasks[[#This Row],[_LeafCritical]]),"Yes",""))</f>
        <v/>
      </c>
      <c r="AJ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7" s="89"/>
      <c r="AM1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7" s="28" t="str">
        <f aca="false">IF(Tasks[[#This Row],[Task Name]]="","",IF(Tasks[[#This Row],[Progress]]&gt;=1,"Complete",IF(OR(N(Tasks[[#This Row],[Actual Start]])&gt;0,Tasks[[#This Row],[Progress]]&gt;0),IF(Tasks[[#This Row],[Finish Var]]&gt;0,"Behind","In Progress"),IF(Tasks[[#This Row],[Planned Start]]&lt;StatusDate,"Late Start","Not Started"))))</f>
        <v/>
      </c>
      <c r="AO197" s="30"/>
      <c r="AP197" s="89"/>
      <c r="AQ1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7" s="96" t="str">
        <f aca="false">IF(Tasks[[#This Row],[Task Name]]="","",IF(Tasks[[#This Row],[_IsSummary]],SUM(INDEX(Tasks[_LeafTotalWork],Tasks[[#This Row],[_Row]]+1):INDEX(Tasks[_LeafTotalWork],Tasks[[#This Row],[_Row]]+Tasks[[#This Row],[_Descendants]])),Tasks[[#This Row],[_LeafTotalWork]]))</f>
        <v/>
      </c>
      <c r="AT197" s="97" t="str">
        <f aca="false">IF(Tasks[[#This Row],[Task Name]]="","",IF(Tasks[[#This Row],[_IsSummary]],SUM(INDEX(Tasks[_LeafTotalCost],Tasks[[#This Row],[_Row]]+1):INDEX(Tasks[_LeafTotalCost],Tasks[[#This Row],[_Row]]+Tasks[[#This Row],[_Descendants]])),Tasks[[#This Row],[_LeafTotalCost]]))</f>
        <v/>
      </c>
      <c r="AU197" s="98"/>
      <c r="AV197" s="29"/>
      <c r="AW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7" s="83"/>
      <c r="AY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7" s="30"/>
      <c r="BA197" s="25" t="str">
        <f aca="false">IF(Tasks[[#This Row],[Task Name]]="","",Tasks[[#This Row],[Forecast Start]])</f>
        <v/>
      </c>
      <c r="BB197" s="25" t="str">
        <f aca="false">IF(Tasks[[#This Row],[Task Name]]="","",Tasks[[#This Row],[Forecast Finish]])</f>
        <v/>
      </c>
      <c r="BC197" s="28" t="str">
        <f aca="false">IF(Tasks[[#This Row],[Task Name]]="","",IF(Tasks[[#This Row],[_IsSummary]],NETWORKDAYS.INTL(Tasks[[#This Row],[Forecast Start]],Tasks[[#This Row],[Forecast Finish]],WorkWeek,Holidays),N(Tasks[[#This Row],[Duration]])))</f>
        <v/>
      </c>
      <c r="BD197" s="96" t="str">
        <f aca="false">IF(Tasks[[#This Row],[Task Name]]="","",Tasks[[#This Row],[Work]])</f>
        <v/>
      </c>
      <c r="BE197" s="97" t="str">
        <f aca="false">IF(Tasks[[#This Row],[Task Name]]="","",Tasks[[#This Row],[Cost]])</f>
        <v/>
      </c>
      <c r="BF197" s="75"/>
      <c r="BG197" s="75"/>
      <c r="BH197" s="29"/>
      <c r="BI197" s="99"/>
      <c r="BJ197" s="98"/>
      <c r="BK197" s="28" t="str">
        <f aca="false">IF(OR(Tasks[[#This Row],[Task Name]]="",Tasks[[#This Row],[Baseline Duration]]=""),"",Tasks[[#This Row],[BL Source Duration]]-N(Tasks[[#This Row],[Baseline Duration]]))</f>
        <v/>
      </c>
      <c r="BL197" s="96" t="str">
        <f aca="false">IF(OR(Tasks[[#This Row],[Task Name]]="",Tasks[[#This Row],[Baseline Work]]=""),"",Tasks[[#This Row],[Work]]-N(Tasks[[#This Row],[Baseline Work]]))</f>
        <v/>
      </c>
      <c r="BM197" s="97" t="str">
        <f aca="false">IF(OR(Tasks[[#This Row],[Task Name]]="",Tasks[[#This Row],[Baseline Cost]]=""),"",Tasks[[#This Row],[Cost]]-N(Tasks[[#This Row],[Baseline Cost]]))</f>
        <v/>
      </c>
      <c r="BN197" s="97" t="str">
        <f aca="false">IF(Tasks[[#This Row],[Task Name]]="","",IF(Tasks[[#This Row],[_IsSummary]],SUM(INDEX(Tasks[_LeafBudget],Tasks[[#This Row],[_Row]]+1):INDEX(Tasks[_LeafBudget],Tasks[[#This Row],[_Row]]+Tasks[[#This Row],[_Descendants]])),Tasks[[#This Row],[_LeafBudget]]))</f>
        <v/>
      </c>
      <c r="BO197" s="97" t="str">
        <f aca="false">IF(Tasks[[#This Row],[Task Name]]="","",IF(Tasks[[#This Row],[_IsSummary]],SUM(INDEX(Tasks[_LeafPV],Tasks[[#This Row],[_Row]]+1):INDEX(Tasks[_LeafPV],Tasks[[#This Row],[_Row]]+Tasks[[#This Row],[_Descendants]])),Tasks[[#This Row],[_LeafPV]]))</f>
        <v/>
      </c>
      <c r="BP197" s="97" t="str">
        <f aca="false">IF(Tasks[[#This Row],[Task Name]]="","",IF(Tasks[[#This Row],[_IsSummary]],SUM(INDEX(Tasks[_LeafEV],Tasks[[#This Row],[_Row]]+1):INDEX(Tasks[_LeafEV],Tasks[[#This Row],[_Row]]+Tasks[[#This Row],[_Descendants]])),Tasks[[#This Row],[_LeafEV]]))</f>
        <v/>
      </c>
      <c r="BQ197" s="97" t="str">
        <f aca="false">IF(Tasks[[#This Row],[Task Name]]="","",IF(Tasks[[#This Row],[_IsSummary]],SUM(INDEX(Tasks[_LeafAC],Tasks[[#This Row],[_Row]]+1):INDEX(Tasks[_LeafAC],Tasks[[#This Row],[_Row]]+Tasks[[#This Row],[_Descendants]])),Tasks[[#This Row],[_LeafAC]]))</f>
        <v/>
      </c>
      <c r="BR197" s="41" t="str">
        <f aca="false">IF(Tasks[[#This Row],[Task Name]]="","",MAX(1,N(Tasks[[#This Row],[Level]])))</f>
        <v/>
      </c>
      <c r="BS197" s="41" t="n">
        <f aca="false">ROW()-ROW(Tasks[[#Headers],[ID]])</f>
        <v>192</v>
      </c>
      <c r="BT197" s="41" t="n">
        <f aca="false">IF(OR(Tasks[[#This Row],[Task Name]]="",Tasks[[#This Row],[_Level]]&lt;=1),0,IFERROR(LOOKUP(2,1/(Tasks[[#Headers],[_Level]]:Tasks[[#This Row],[_Level]]=Tasks[[#This Row],[_Level]]-1),ROW(Tasks[[#Headers],[_Level]]:Tasks[[#This Row],[_Level]])),0))</f>
        <v>0</v>
      </c>
      <c r="BU197" s="41" t="n">
        <f aca="false">IFERROR(N(INDEX(Tasks[_Level],Tasks[[#This Row],[_Row]]+1)),0)</f>
        <v>0</v>
      </c>
      <c r="BV197" s="100" t="b">
        <f aca="false">AND(Tasks[[#This Row],[Task Name]]&lt;&gt;"",Tasks[[#This Row],[_NextLevel]]&gt;Tasks[[#This Row],[_Level]])</f>
        <v>0</v>
      </c>
      <c r="BW197" s="41" t="n">
        <f aca="false">IF(Tasks[[#This Row],[_IsSummary]],COUNTIF(Tasks[WBS],Tasks[[#This Row],[WBS]]&amp;".*"),0)</f>
        <v>0</v>
      </c>
      <c r="BX197" s="41" t="n">
        <f aca="false">IF(AND(Tasks[[#This Row],[Task Name]]&lt;&gt;"",NOT(Tasks[[#This Row],[_IsSummary]])),1,0)</f>
        <v>0</v>
      </c>
      <c r="BY197" s="41" t="n">
        <f aca="false">IF(N(Tasks[[#This Row],[Pred1 UID]])=0,0,IFERROR(MATCH(Tasks[[#This Row],[Pred1 UID]],Tasks[UID],0),-1))</f>
        <v>0</v>
      </c>
      <c r="BZ197" s="41" t="n">
        <f aca="false">IF(N(Tasks[[#This Row],[Pred2 UID]])=0,0,IFERROR(MATCH(Tasks[[#This Row],[Pred2 UID]],Tasks[UID],0),-1))</f>
        <v>0</v>
      </c>
      <c r="CA197" s="41" t="n">
        <f aca="false">IF(N(Tasks[[#This Row],[Pred3 UID]])=0,0,IFERROR(MATCH(Tasks[[#This Row],[Pred3 UID]],Tasks[UID],0),-1))</f>
        <v>0</v>
      </c>
      <c r="CB197" s="41" t="n">
        <f aca="false">IF(N(Tasks[[#This Row],[Pred4 UID]])=0,0,IFERROR(MATCH(Tasks[[#This Row],[Pred4 UID]],Tasks[UID],0),-1))</f>
        <v>0</v>
      </c>
      <c r="CC1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7" s="101" t="n">
        <f aca="false">IF(OR(Tasks[[#This Row],[_ConstraintCode]]=2,Tasks[[#This Row],[_ConstraintCode]]=3,Tasks[[#This Row],[_ConstraintCode]]=4,Tasks[[#This Row],[_ConstraintCode]]=6),Tasks[[#This Row],[_ConstraintStart]],0)</f>
        <v>0</v>
      </c>
      <c r="CF197" s="101" t="n">
        <f aca="false">IF(OR(Tasks[[#This Row],[_ConstraintCode]]=2,Tasks[[#This Row],[_ConstraintCode]]=3,Tasks[[#This Row],[_ConstraintCode]]=5,Tasks[[#This Row],[_ConstraintCode]]=7),Tasks[[#This Row],[_ConstraintStart]],2958465)</f>
        <v>2958465</v>
      </c>
      <c r="CG19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7" s="101" t="str">
        <f aca="false">IF(NOT(Tasks[[#This Row],[_IsLeaf]]=1),"",IF(N(Tasks[[#This Row],[Duration]])&lt;=0,Tasks[[#This Row],[_LeafCalcStart]],WORKDAY.INTL(Tasks[[#This Row],[_LeafCalcStart]],Tasks[[#This Row],[Duration]]-1,WorkWeek,Holidays)))</f>
        <v/>
      </c>
      <c r="CI19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7" s="41" t="n">
        <f aca="false">IF(NOT(Tasks[[#This Row],[_IsLeaf]]=1),0,IF(N(Tasks[[#This Row],[Actual Finish]])&gt;0,1,MIN(1,N(Tasks[[#This Row],[% Complete]]))))</f>
        <v>0</v>
      </c>
      <c r="CL197" s="41" t="n">
        <f aca="false">IF(OR(NOT(Tasks[[#This Row],[_IsLeaf]]=1),Tasks[[#This Row],[Resource]]=""),0,N(Tasks[[#This Row],[Duration]])*HoursPerDay*IF(Tasks[[#This Row],[Units]]="",DefaultUnits,Tasks[[#This Row],[Units]]))</f>
        <v>0</v>
      </c>
      <c r="CM197" s="41" t="n">
        <f aca="false">IF(Tasks[[#This Row],[_LeafWork]]=0,0,Tasks[[#This Row],[_LeafWork]]*IFERROR(INDEX(res_Rate,MATCH(Tasks[[#This Row],[Resource]],res_Name,0)),0))</f>
        <v>0</v>
      </c>
      <c r="CN197" s="41" t="n">
        <f aca="false">Tasks[[#This Row],[_LeafWork]]+IF(Tasks[[#This Row],[_IsLeaf]]=1,SUMIFS(asg_Work,asg_TaskUID,Tasks[[#This Row],[UID]],asg_Valid,1),0)</f>
        <v>0</v>
      </c>
      <c r="CO197" s="41" t="n">
        <f aca="false">Tasks[[#This Row],[_LeafCost]]+IF(Tasks[[#This Row],[_IsLeaf]]=1,SUMIFS(asg_Cost,asg_TaskUID,Tasks[[#This Row],[UID]],asg_Valid,1),0)</f>
        <v>0</v>
      </c>
      <c r="CP197" s="41" t="n">
        <f aca="false">IF(Tasks[[#This Row],[_LeafTotalCost]]=0,Tasks[[#This Row],[_LeafAC]],Tasks[[#This Row],[_LeafAC]]*Tasks[[#This Row],[_LeafCost]]/Tasks[[#This Row],[_LeafTotalCost]])</f>
        <v>0</v>
      </c>
      <c r="CQ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7" s="41" t="n">
        <f aca="false">IF(NOT(Tasks[[#This Row],[_IsLeaf]]=1),0,MAX(_xlfn.MAXIFS(Tasks[_Row],Tasks[Pred1 UID],Tasks[[#This Row],[UID]]),_xlfn.MAXIFS(Tasks[_Row],Tasks[Pred2 UID],Tasks[[#This Row],[UID]]),_xlfn.MAXIFS(Tasks[_Row],Tasks[Pred3 UID],Tasks[[#This Row],[UID]]),_xlfn.MAXIFS(Tasks[_Row],Tasks[Pred4 UID],Tasks[[#This Row],[UID]])))</f>
        <v>0</v>
      </c>
      <c r="CZ1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7" s="101" t="str">
        <f aca="false">IF(NOT(Tasks[[#This Row],[_IsLeaf]]=1),"",IF(N(Tasks[[#This Row],[Duration]])&lt;=0,Tasks[[#This Row],[_LeafLateFinish]],WORKDAY.INTL(Tasks[[#This Row],[_LeafLateFinish]],-(Tasks[[#This Row],[Duration]]-1),WorkWeek,Holidays)))</f>
        <v/>
      </c>
      <c r="DC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7" s="100" t="b">
        <f aca="false">AND(Tasks[[#This Row],[_IsLeaf]]=1,Tasks[[#This Row],[_LeafProgress]]&lt;1,N(Tasks[[#This Row],[_LeafTotalSlack]])&lt;=CriticalSlackDays)</f>
        <v>0</v>
      </c>
      <c r="DE197" s="41" t="n">
        <f aca="false">IF(AND(Tasks[[#This Row],[_IsLeaf]]=1,Tasks[[#This Row],[_ConstraintCode]]=1,Tasks[[#This Row],[Mode]]&lt;&gt;"Manual",N(Tasks[[#This Row],[Actual Start]])=0),MAX(0,N(Tasks[[#This Row],[Free Slack]])),0)</f>
        <v>0</v>
      </c>
      <c r="DF197" s="101" t="str">
        <f aca="false">IF(NOT(Tasks[[#This Row],[_IsLeaf]]=1),"",IF(Tasks[[#This Row],[_AlapShift]]=0,Tasks[[#This Row],[_LeafCalcStart]],WORKDAY.INTL(Tasks[[#This Row],[_LeafCalcStart]],Tasks[[#This Row],[_AlapShift]],WorkWeek,Holidays)))</f>
        <v/>
      </c>
      <c r="DG197" s="101" t="str">
        <f aca="false">IF(NOT(Tasks[[#This Row],[_IsLeaf]]=1),"",IF(Tasks[[#This Row],[_AlapShift]]=0,Tasks[[#This Row],[_LeafCalcFinish]],WORKDAY.INTL(Tasks[[#This Row],[_LeafCalcFinish]],Tasks[[#This Row],[_AlapShift]],WorkWeek,Holidays)))</f>
        <v/>
      </c>
      <c r="DH197" s="101" t="str">
        <f aca="false">IF(NOT(Tasks[[#This Row],[_IsLeaf]]=1),"",IF(Tasks[[#This Row],[_AlapShift]]=0,Tasks[[#This Row],[_LeafFcstStart]],WORKDAY.INTL(Tasks[[#This Row],[_LeafFcstStart]],Tasks[[#This Row],[_AlapShift]],WorkWeek,Holidays)))</f>
        <v/>
      </c>
      <c r="DI197" s="101" t="str">
        <f aca="false">IF(NOT(Tasks[[#This Row],[_IsLeaf]]=1),"",IF(Tasks[[#This Row],[_AlapShift]]=0,Tasks[[#This Row],[_LeafFcstFinish]],WORKDAY.INTL(Tasks[[#This Row],[_LeafFcstFinish]],Tasks[[#This Row],[_AlapShift]],WorkWeek,Holidays)))</f>
        <v/>
      </c>
      <c r="DJ197" s="101" t="str">
        <f aca="false">IF(Tasks[[#This Row],[Task Name]]="","",IF(Tasks[[#This Row],[_IsSummary]],MIN(INDEX(Tasks[_ShownCalcStart],Tasks[[#This Row],[_Row]]+1):INDEX(Tasks[_ShownCalcStart],Tasks[[#This Row],[_Row]]+Tasks[[#This Row],[_Descendants]])),Tasks[[#This Row],[_ShownCalcStart]]))</f>
        <v/>
      </c>
      <c r="DK197" s="101" t="str">
        <f aca="false">IF(Tasks[[#This Row],[Task Name]]="","",IF(Tasks[[#This Row],[_IsSummary]],MAX(INDEX(Tasks[_ShownCalcFinish],Tasks[[#This Row],[_Row]]+1):INDEX(Tasks[_ShownCalcFinish],Tasks[[#This Row],[_Row]]+Tasks[[#This Row],[_Descendants]])),Tasks[[#This Row],[_ShownCalcFinish]]))</f>
        <v/>
      </c>
      <c r="D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7" s="41" t="n">
        <f aca="false">IF(AND(Tasks[[#This Row],[_IsLeaf]]=1,Tasks[[#This Row],[_LeafTotalWork]]&gt;0),NETWORKDAYS.INTL(ProjectStart,Tasks[[#This Row],[_ShownFcstStart]],WorkWeek,Holidays),0)</f>
        <v>0</v>
      </c>
      <c r="DY197" s="41" t="n">
        <f aca="false">IF(AND(Tasks[[#This Row],[_IsLeaf]]=1,Tasks[[#This Row],[_LeafTotalWork]]&gt;0),MAX(Tasks[[#This Row],[_StartWorkday]],NETWORKDAYS.INTL(ProjectStart,Tasks[[#This Row],[_ShownFcstFinish]],WorkWeek,Holidays)),0)</f>
        <v>0</v>
      </c>
      <c r="DZ197" s="41" t="n">
        <f aca="false">IF(AND(Tasks[[#This Row],[_IsLeaf]]=1,Tasks[[#This Row],[_LeafTotalWork]]&gt;0),Tasks[[#This Row],[_LeafWork]]/(Tasks[[#This Row],[_FinishWorkday]]-Tasks[[#This Row],[_StartWorkday]]+1),0)</f>
        <v>0</v>
      </c>
      <c r="EA197" s="41" t="n">
        <f aca="false">Tasks[[#This Row],[_WorkPerWorkday]]*(Tasks[[#This Row],[_StartWorkday]]-1)</f>
        <v>-0</v>
      </c>
      <c r="EB197" s="41" t="n">
        <f aca="false">IF(Tasks[[#This Row],[_IsLeaf]]=1,MAX(N(Tasks[[#This Row],[Duration]]),0.1),0)</f>
        <v>0</v>
      </c>
      <c r="EC197" s="41" t="n">
        <f aca="false">Tasks[[#This Row],[_WeightDur]]*Tasks[[#This Row],[_LeafProgress]]</f>
        <v>0</v>
      </c>
      <c r="ED1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7" s="41" t="str">
        <f aca="false">IF(AND(Tasks[[#This Row],[_IsLeaf]]=1,N(Tasks[[#This Row],[Duration]])=0,Tasks[[#This Row],[_LeafProgress]]&lt;1),Tasks[[#This Row],[_ShownFcstFinish]]+Tasks[[#This Row],[_Row]]/100000,"")</f>
        <v/>
      </c>
      <c r="EF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7" s="41" t="n">
        <f aca="false">IF(NOT(Tasks[[#This Row],[_IsLeaf]]=1),0,IF(Tasks[[#This Row],[Baseline Cost]]="",Tasks[[#This Row],[_LeafTotalCost]],N(Tasks[[#This Row],[Baseline Cost]])))</f>
        <v>0</v>
      </c>
      <c r="EH197" s="41" t="n">
        <f aca="false">Tasks[[#This Row],[_LeafBudget]]*Tasks[[#This Row],[_PlannedPct]]</f>
        <v>0</v>
      </c>
      <c r="EI197" s="41" t="n">
        <f aca="false">Tasks[[#This Row],[_LeafBudget]]*Tasks[[#This Row],[_LeafProgress]]</f>
        <v>0</v>
      </c>
      <c r="EJ197" s="41" t="n">
        <f aca="false">IF(NOT(Tasks[[#This Row],[_IsLeaf]]=1),0,IF(Tasks[[#This Row],[Actual Cost]]="",Tasks[[#This Row],[_LeafTotalCost]]*Tasks[[#This Row],[_LeafProgress]],N(Tasks[[#This Row],[Actual Cost]])))</f>
        <v>0</v>
      </c>
      <c r="EK197" s="41" t="str">
        <f aca="false">IF(Tasks[[#This Row],[Task Name]]="","",LEFT(Tasks[[#This Row],[WBS]],FIND(".",Tasks[[#This Row],[WBS]]&amp;".")-1))</f>
        <v/>
      </c>
      <c r="EL197" s="41" t="str">
        <f aca="false">IF(AND(Tasks[[#This Row],[Task Name]]&lt;&gt;"",Tasks[[#This Row],[_Level]]=1),Tasks[[#This Row],[_Row]],"")</f>
        <v/>
      </c>
      <c r="EM197" s="41" t="str">
        <f aca="false">IF(AND(Tasks[[#This Row],[_IsLeaf]]=1,N(Tasks[[#This Row],[Duration]])=0),Tasks[[#This Row],[Planned Finish]]+Tasks[[#This Row],[_Row]]/100000,"")</f>
        <v/>
      </c>
      <c r="EN197" s="41" t="str">
        <f aca="false">IF(AND(Tasks[[#This Row],[_IsLeaf]]=1,Tasks[[#This Row],[_LeafProgress]]&lt;1,OR(N(Tasks[[#This Row],[Finish Var]])&gt;0,Tasks[[#This Row],[Status]]="Late Start")),MAX(0,Tasks[[#This Row],[Finish Var]])+1-Tasks[[#This Row],[_Row]]/1000000,"")</f>
        <v/>
      </c>
      <c r="EO197" s="41" t="str">
        <f aca="false">IF(AND(Tasks[[#This Row],[_IsLeaf]]=1,N(Tasks[[#This Row],[Actual Start]])=0,Tasks[[#This Row],[_ShownFcstStart]]&gt;=StatusDate,Tasks[[#This Row],[_ShownFcstStart]]&lt;=LookaheadEnd),Tasks[[#This Row],[_ShownFcstStart]]+Tasks[[#This Row],[_Row]]/100000,"")</f>
        <v/>
      </c>
      <c r="EP197" s="41" t="str">
        <f aca="false">IF(AND(Tasks[[#This Row],[_IsLeaf]]=1,Tasks[[#This Row],[_LeafProgress]]&lt;1,Tasks[[#This Row],[_ShownFcstFinish]]&gt;=StatusDate,Tasks[[#This Row],[_ShownFcstFinish]]&lt;=LookaheadEnd),Tasks[[#This Row],[_ShownFcstFinish]]+Tasks[[#This Row],[_Row]]/100000,"")</f>
        <v/>
      </c>
      <c r="EQ197" s="41" t="str">
        <f aca="false">IF(Tasks[[#This Row],[_LeafCritical]],Tasks[[#This Row],[_ShownFcstStart]]+Tasks[[#This Row],[_Row]]/100000,"")</f>
        <v/>
      </c>
      <c r="ER197" s="41" t="n">
        <f aca="false">Tasks[[#This Row],[_LeafWork]]*Tasks[[#This Row],[_LeafProgress]]</f>
        <v>0</v>
      </c>
      <c r="ES197" s="101" t="str">
        <f aca="false">IF(AND(Tasks[[#This Row],[_IsLeaf]]=1,Tasks[[#This Row],[_LeafProgress]]&gt;=1),IF(N(Tasks[[#This Row],[Actual Finish]])&gt;0,Tasks[[#This Row],[Actual Finish]],Tasks[[#This Row],[_ShownFcstFinish]]),"")</f>
        <v/>
      </c>
      <c r="ET197" s="41" t="n">
        <f aca="false">IF(Tasks[[#This Row],[_IsLeaf]]=1,N(Tasks[[#This Row],[Story Points]]),0)</f>
        <v>0</v>
      </c>
      <c r="EU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29"/>
      <c r="O198" s="29"/>
      <c r="P198" s="29"/>
      <c r="Q198" s="29"/>
      <c r="R198" s="29"/>
      <c r="S198" s="29"/>
      <c r="T198" s="30"/>
      <c r="U198" s="75"/>
      <c r="V198" s="75"/>
      <c r="W198" s="25" t="str">
        <f aca="false">IF(Tasks[[#This Row],[Task Name]]="","",IF(N(Tasks[[#This Row],[Baseline Start]])&gt;0,Tasks[[#This Row],[Baseline Start]],Tasks[[#This Row],[_CalcStart]]))</f>
        <v/>
      </c>
      <c r="X198" s="25" t="str">
        <f aca="false">IF(Tasks[[#This Row],[Task Name]]="","",IF(N(Tasks[[#This Row],[Baseline Finish]])&gt;0,Tasks[[#This Row],[Baseline Finish]],Tasks[[#This Row],[_CalcFinish]]))</f>
        <v/>
      </c>
      <c r="Y198" s="75"/>
      <c r="Z198" s="75"/>
      <c r="AA198" s="25" t="str">
        <f aca="false">IF(Tasks[[#This Row],[Task Name]]="","",IF(Tasks[[#This Row],[_IsSummary]],MIN(INDEX(Tasks[_ShownFcstStart],Tasks[[#This Row],[_Row]]+1):INDEX(Tasks[_ShownFcstStart],Tasks[[#This Row],[_Row]]+Tasks[[#This Row],[_Descendants]])),Tasks[[#This Row],[_ShownFcstStart]]))</f>
        <v/>
      </c>
      <c r="AB198" s="25" t="str">
        <f aca="false">IF(Tasks[[#This Row],[Task Name]]="","",IF(Tasks[[#This Row],[_IsSummary]],MAX(INDEX(Tasks[_ShownFcstFinish],Tasks[[#This Row],[_Row]]+1):INDEX(Tasks[_ShownFcstFinish],Tasks[[#This Row],[_Row]]+Tasks[[#This Row],[_Descendants]])),Tasks[[#This Row],[_ShownFcstFinish]]))</f>
        <v/>
      </c>
      <c r="AC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8" s="25" t="str">
        <f aca="false">IF(Tasks[[#This Row],[Task Name]]="","",IF(Tasks[[#This Row],[_IsSummary]],MIN(INDEX(Tasks[_LeafLateStart],Tasks[[#This Row],[_Row]]+1):INDEX(Tasks[_LeafLateStart],Tasks[[#This Row],[_Row]]+Tasks[[#This Row],[_Descendants]])),Tasks[[#This Row],[_LeafLateStart]]))</f>
        <v/>
      </c>
      <c r="AF198" s="25" t="str">
        <f aca="false">IF(Tasks[[#This Row],[Task Name]]="","",IF(Tasks[[#This Row],[_IsSummary]],MAX(INDEX(Tasks[_LeafLateFinish],Tasks[[#This Row],[_Row]]+1):INDEX(Tasks[_LeafLateFinish],Tasks[[#This Row],[_Row]]+Tasks[[#This Row],[_Descendants]])),Tasks[[#This Row],[_LeafLateFinish]]))</f>
        <v/>
      </c>
      <c r="AG198" s="28" t="str">
        <f aca="false">IF(Tasks[[#This Row],[Task Name]]="","",IF(Tasks[[#This Row],[_IsSummary]],MIN(INDEX(Tasks[_LeafTotalSlack],Tasks[[#This Row],[_Row]]+1):INDEX(Tasks[_LeafTotalSlack],Tasks[[#This Row],[_Row]]+Tasks[[#This Row],[_Descendants]])),Tasks[[#This Row],[_LeafTotalSlack]]))</f>
        <v/>
      </c>
      <c r="AH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8" s="28" t="str">
        <f aca="false">IF(Tasks[[#This Row],[Task Name]]="","",IF(IF(Tasks[[#This Row],[_IsSummary]],COUNTIF(INDEX(Tasks[_LeafCritical],Tasks[[#This Row],[_Row]]+1):INDEX(Tasks[_LeafCritical],Tasks[[#This Row],[_Row]]+Tasks[[#This Row],[_Descendants]]),TRUE())&gt;0,Tasks[[#This Row],[_LeafCritical]]),"Yes",""))</f>
        <v/>
      </c>
      <c r="AJ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8" s="89"/>
      <c r="AM1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8" s="28" t="str">
        <f aca="false">IF(Tasks[[#This Row],[Task Name]]="","",IF(Tasks[[#This Row],[Progress]]&gt;=1,"Complete",IF(OR(N(Tasks[[#This Row],[Actual Start]])&gt;0,Tasks[[#This Row],[Progress]]&gt;0),IF(Tasks[[#This Row],[Finish Var]]&gt;0,"Behind","In Progress"),IF(Tasks[[#This Row],[Planned Start]]&lt;StatusDate,"Late Start","Not Started"))))</f>
        <v/>
      </c>
      <c r="AO198" s="30"/>
      <c r="AP198" s="89"/>
      <c r="AQ1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8" s="96" t="str">
        <f aca="false">IF(Tasks[[#This Row],[Task Name]]="","",IF(Tasks[[#This Row],[_IsSummary]],SUM(INDEX(Tasks[_LeafTotalWork],Tasks[[#This Row],[_Row]]+1):INDEX(Tasks[_LeafTotalWork],Tasks[[#This Row],[_Row]]+Tasks[[#This Row],[_Descendants]])),Tasks[[#This Row],[_LeafTotalWork]]))</f>
        <v/>
      </c>
      <c r="AT198" s="97" t="str">
        <f aca="false">IF(Tasks[[#This Row],[Task Name]]="","",IF(Tasks[[#This Row],[_IsSummary]],SUM(INDEX(Tasks[_LeafTotalCost],Tasks[[#This Row],[_Row]]+1):INDEX(Tasks[_LeafTotalCost],Tasks[[#This Row],[_Row]]+Tasks[[#This Row],[_Descendants]])),Tasks[[#This Row],[_LeafTotalCost]]))</f>
        <v/>
      </c>
      <c r="AU198" s="98"/>
      <c r="AV198" s="29"/>
      <c r="AW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8" s="83"/>
      <c r="AY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8" s="30"/>
      <c r="BA198" s="25" t="str">
        <f aca="false">IF(Tasks[[#This Row],[Task Name]]="","",Tasks[[#This Row],[Forecast Start]])</f>
        <v/>
      </c>
      <c r="BB198" s="25" t="str">
        <f aca="false">IF(Tasks[[#This Row],[Task Name]]="","",Tasks[[#This Row],[Forecast Finish]])</f>
        <v/>
      </c>
      <c r="BC198" s="28" t="str">
        <f aca="false">IF(Tasks[[#This Row],[Task Name]]="","",IF(Tasks[[#This Row],[_IsSummary]],NETWORKDAYS.INTL(Tasks[[#This Row],[Forecast Start]],Tasks[[#This Row],[Forecast Finish]],WorkWeek,Holidays),N(Tasks[[#This Row],[Duration]])))</f>
        <v/>
      </c>
      <c r="BD198" s="96" t="str">
        <f aca="false">IF(Tasks[[#This Row],[Task Name]]="","",Tasks[[#This Row],[Work]])</f>
        <v/>
      </c>
      <c r="BE198" s="97" t="str">
        <f aca="false">IF(Tasks[[#This Row],[Task Name]]="","",Tasks[[#This Row],[Cost]])</f>
        <v/>
      </c>
      <c r="BF198" s="75"/>
      <c r="BG198" s="75"/>
      <c r="BH198" s="29"/>
      <c r="BI198" s="99"/>
      <c r="BJ198" s="98"/>
      <c r="BK198" s="28" t="str">
        <f aca="false">IF(OR(Tasks[[#This Row],[Task Name]]="",Tasks[[#This Row],[Baseline Duration]]=""),"",Tasks[[#This Row],[BL Source Duration]]-N(Tasks[[#This Row],[Baseline Duration]]))</f>
        <v/>
      </c>
      <c r="BL198" s="96" t="str">
        <f aca="false">IF(OR(Tasks[[#This Row],[Task Name]]="",Tasks[[#This Row],[Baseline Work]]=""),"",Tasks[[#This Row],[Work]]-N(Tasks[[#This Row],[Baseline Work]]))</f>
        <v/>
      </c>
      <c r="BM198" s="97" t="str">
        <f aca="false">IF(OR(Tasks[[#This Row],[Task Name]]="",Tasks[[#This Row],[Baseline Cost]]=""),"",Tasks[[#This Row],[Cost]]-N(Tasks[[#This Row],[Baseline Cost]]))</f>
        <v/>
      </c>
      <c r="BN198" s="97" t="str">
        <f aca="false">IF(Tasks[[#This Row],[Task Name]]="","",IF(Tasks[[#This Row],[_IsSummary]],SUM(INDEX(Tasks[_LeafBudget],Tasks[[#This Row],[_Row]]+1):INDEX(Tasks[_LeafBudget],Tasks[[#This Row],[_Row]]+Tasks[[#This Row],[_Descendants]])),Tasks[[#This Row],[_LeafBudget]]))</f>
        <v/>
      </c>
      <c r="BO198" s="97" t="str">
        <f aca="false">IF(Tasks[[#This Row],[Task Name]]="","",IF(Tasks[[#This Row],[_IsSummary]],SUM(INDEX(Tasks[_LeafPV],Tasks[[#This Row],[_Row]]+1):INDEX(Tasks[_LeafPV],Tasks[[#This Row],[_Row]]+Tasks[[#This Row],[_Descendants]])),Tasks[[#This Row],[_LeafPV]]))</f>
        <v/>
      </c>
      <c r="BP198" s="97" t="str">
        <f aca="false">IF(Tasks[[#This Row],[Task Name]]="","",IF(Tasks[[#This Row],[_IsSummary]],SUM(INDEX(Tasks[_LeafEV],Tasks[[#This Row],[_Row]]+1):INDEX(Tasks[_LeafEV],Tasks[[#This Row],[_Row]]+Tasks[[#This Row],[_Descendants]])),Tasks[[#This Row],[_LeafEV]]))</f>
        <v/>
      </c>
      <c r="BQ198" s="97" t="str">
        <f aca="false">IF(Tasks[[#This Row],[Task Name]]="","",IF(Tasks[[#This Row],[_IsSummary]],SUM(INDEX(Tasks[_LeafAC],Tasks[[#This Row],[_Row]]+1):INDEX(Tasks[_LeafAC],Tasks[[#This Row],[_Row]]+Tasks[[#This Row],[_Descendants]])),Tasks[[#This Row],[_LeafAC]]))</f>
        <v/>
      </c>
      <c r="BR198" s="41" t="str">
        <f aca="false">IF(Tasks[[#This Row],[Task Name]]="","",MAX(1,N(Tasks[[#This Row],[Level]])))</f>
        <v/>
      </c>
      <c r="BS198" s="41" t="n">
        <f aca="false">ROW()-ROW(Tasks[[#Headers],[ID]])</f>
        <v>193</v>
      </c>
      <c r="BT198" s="41" t="n">
        <f aca="false">IF(OR(Tasks[[#This Row],[Task Name]]="",Tasks[[#This Row],[_Level]]&lt;=1),0,IFERROR(LOOKUP(2,1/(Tasks[[#Headers],[_Level]]:Tasks[[#This Row],[_Level]]=Tasks[[#This Row],[_Level]]-1),ROW(Tasks[[#Headers],[_Level]]:Tasks[[#This Row],[_Level]])),0))</f>
        <v>0</v>
      </c>
      <c r="BU198" s="41" t="n">
        <f aca="false">IFERROR(N(INDEX(Tasks[_Level],Tasks[[#This Row],[_Row]]+1)),0)</f>
        <v>0</v>
      </c>
      <c r="BV198" s="100" t="b">
        <f aca="false">AND(Tasks[[#This Row],[Task Name]]&lt;&gt;"",Tasks[[#This Row],[_NextLevel]]&gt;Tasks[[#This Row],[_Level]])</f>
        <v>0</v>
      </c>
      <c r="BW198" s="41" t="n">
        <f aca="false">IF(Tasks[[#This Row],[_IsSummary]],COUNTIF(Tasks[WBS],Tasks[[#This Row],[WBS]]&amp;".*"),0)</f>
        <v>0</v>
      </c>
      <c r="BX198" s="41" t="n">
        <f aca="false">IF(AND(Tasks[[#This Row],[Task Name]]&lt;&gt;"",NOT(Tasks[[#This Row],[_IsSummary]])),1,0)</f>
        <v>0</v>
      </c>
      <c r="BY198" s="41" t="n">
        <f aca="false">IF(N(Tasks[[#This Row],[Pred1 UID]])=0,0,IFERROR(MATCH(Tasks[[#This Row],[Pred1 UID]],Tasks[UID],0),-1))</f>
        <v>0</v>
      </c>
      <c r="BZ198" s="41" t="n">
        <f aca="false">IF(N(Tasks[[#This Row],[Pred2 UID]])=0,0,IFERROR(MATCH(Tasks[[#This Row],[Pred2 UID]],Tasks[UID],0),-1))</f>
        <v>0</v>
      </c>
      <c r="CA198" s="41" t="n">
        <f aca="false">IF(N(Tasks[[#This Row],[Pred3 UID]])=0,0,IFERROR(MATCH(Tasks[[#This Row],[Pred3 UID]],Tasks[UID],0),-1))</f>
        <v>0</v>
      </c>
      <c r="CB198" s="41" t="n">
        <f aca="false">IF(N(Tasks[[#This Row],[Pred4 UID]])=0,0,IFERROR(MATCH(Tasks[[#This Row],[Pred4 UID]],Tasks[UID],0),-1))</f>
        <v>0</v>
      </c>
      <c r="CC1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8" s="101" t="n">
        <f aca="false">IF(OR(Tasks[[#This Row],[_ConstraintCode]]=2,Tasks[[#This Row],[_ConstraintCode]]=3,Tasks[[#This Row],[_ConstraintCode]]=4,Tasks[[#This Row],[_ConstraintCode]]=6),Tasks[[#This Row],[_ConstraintStart]],0)</f>
        <v>0</v>
      </c>
      <c r="CF198" s="101" t="n">
        <f aca="false">IF(OR(Tasks[[#This Row],[_ConstraintCode]]=2,Tasks[[#This Row],[_ConstraintCode]]=3,Tasks[[#This Row],[_ConstraintCode]]=5,Tasks[[#This Row],[_ConstraintCode]]=7),Tasks[[#This Row],[_ConstraintStart]],2958465)</f>
        <v>2958465</v>
      </c>
      <c r="CG19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8" s="101" t="str">
        <f aca="false">IF(NOT(Tasks[[#This Row],[_IsLeaf]]=1),"",IF(N(Tasks[[#This Row],[Duration]])&lt;=0,Tasks[[#This Row],[_LeafCalcStart]],WORKDAY.INTL(Tasks[[#This Row],[_LeafCalcStart]],Tasks[[#This Row],[Duration]]-1,WorkWeek,Holidays)))</f>
        <v/>
      </c>
      <c r="CI19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8" s="41" t="n">
        <f aca="false">IF(NOT(Tasks[[#This Row],[_IsLeaf]]=1),0,IF(N(Tasks[[#This Row],[Actual Finish]])&gt;0,1,MIN(1,N(Tasks[[#This Row],[% Complete]]))))</f>
        <v>0</v>
      </c>
      <c r="CL198" s="41" t="n">
        <f aca="false">IF(OR(NOT(Tasks[[#This Row],[_IsLeaf]]=1),Tasks[[#This Row],[Resource]]=""),0,N(Tasks[[#This Row],[Duration]])*HoursPerDay*IF(Tasks[[#This Row],[Units]]="",DefaultUnits,Tasks[[#This Row],[Units]]))</f>
        <v>0</v>
      </c>
      <c r="CM198" s="41" t="n">
        <f aca="false">IF(Tasks[[#This Row],[_LeafWork]]=0,0,Tasks[[#This Row],[_LeafWork]]*IFERROR(INDEX(res_Rate,MATCH(Tasks[[#This Row],[Resource]],res_Name,0)),0))</f>
        <v>0</v>
      </c>
      <c r="CN198" s="41" t="n">
        <f aca="false">Tasks[[#This Row],[_LeafWork]]+IF(Tasks[[#This Row],[_IsLeaf]]=1,SUMIFS(asg_Work,asg_TaskUID,Tasks[[#This Row],[UID]],asg_Valid,1),0)</f>
        <v>0</v>
      </c>
      <c r="CO198" s="41" t="n">
        <f aca="false">Tasks[[#This Row],[_LeafCost]]+IF(Tasks[[#This Row],[_IsLeaf]]=1,SUMIFS(asg_Cost,asg_TaskUID,Tasks[[#This Row],[UID]],asg_Valid,1),0)</f>
        <v>0</v>
      </c>
      <c r="CP198" s="41" t="n">
        <f aca="false">IF(Tasks[[#This Row],[_LeafTotalCost]]=0,Tasks[[#This Row],[_LeafAC]],Tasks[[#This Row],[_LeafAC]]*Tasks[[#This Row],[_LeafCost]]/Tasks[[#This Row],[_LeafTotalCost]])</f>
        <v>0</v>
      </c>
      <c r="CQ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8" s="41" t="n">
        <f aca="false">IF(NOT(Tasks[[#This Row],[_IsLeaf]]=1),0,MAX(_xlfn.MAXIFS(Tasks[_Row],Tasks[Pred1 UID],Tasks[[#This Row],[UID]]),_xlfn.MAXIFS(Tasks[_Row],Tasks[Pred2 UID],Tasks[[#This Row],[UID]]),_xlfn.MAXIFS(Tasks[_Row],Tasks[Pred3 UID],Tasks[[#This Row],[UID]]),_xlfn.MAXIFS(Tasks[_Row],Tasks[Pred4 UID],Tasks[[#This Row],[UID]])))</f>
        <v>0</v>
      </c>
      <c r="CZ1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8" s="101" t="str">
        <f aca="false">IF(NOT(Tasks[[#This Row],[_IsLeaf]]=1),"",IF(N(Tasks[[#This Row],[Duration]])&lt;=0,Tasks[[#This Row],[_LeafLateFinish]],WORKDAY.INTL(Tasks[[#This Row],[_LeafLateFinish]],-(Tasks[[#This Row],[Duration]]-1),WorkWeek,Holidays)))</f>
        <v/>
      </c>
      <c r="DC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8" s="100" t="b">
        <f aca="false">AND(Tasks[[#This Row],[_IsLeaf]]=1,Tasks[[#This Row],[_LeafProgress]]&lt;1,N(Tasks[[#This Row],[_LeafTotalSlack]])&lt;=CriticalSlackDays)</f>
        <v>0</v>
      </c>
      <c r="DE198" s="41" t="n">
        <f aca="false">IF(AND(Tasks[[#This Row],[_IsLeaf]]=1,Tasks[[#This Row],[_ConstraintCode]]=1,Tasks[[#This Row],[Mode]]&lt;&gt;"Manual",N(Tasks[[#This Row],[Actual Start]])=0),MAX(0,N(Tasks[[#This Row],[Free Slack]])),0)</f>
        <v>0</v>
      </c>
      <c r="DF198" s="101" t="str">
        <f aca="false">IF(NOT(Tasks[[#This Row],[_IsLeaf]]=1),"",IF(Tasks[[#This Row],[_AlapShift]]=0,Tasks[[#This Row],[_LeafCalcStart]],WORKDAY.INTL(Tasks[[#This Row],[_LeafCalcStart]],Tasks[[#This Row],[_AlapShift]],WorkWeek,Holidays)))</f>
        <v/>
      </c>
      <c r="DG198" s="101" t="str">
        <f aca="false">IF(NOT(Tasks[[#This Row],[_IsLeaf]]=1),"",IF(Tasks[[#This Row],[_AlapShift]]=0,Tasks[[#This Row],[_LeafCalcFinish]],WORKDAY.INTL(Tasks[[#This Row],[_LeafCalcFinish]],Tasks[[#This Row],[_AlapShift]],WorkWeek,Holidays)))</f>
        <v/>
      </c>
      <c r="DH198" s="101" t="str">
        <f aca="false">IF(NOT(Tasks[[#This Row],[_IsLeaf]]=1),"",IF(Tasks[[#This Row],[_AlapShift]]=0,Tasks[[#This Row],[_LeafFcstStart]],WORKDAY.INTL(Tasks[[#This Row],[_LeafFcstStart]],Tasks[[#This Row],[_AlapShift]],WorkWeek,Holidays)))</f>
        <v/>
      </c>
      <c r="DI198" s="101" t="str">
        <f aca="false">IF(NOT(Tasks[[#This Row],[_IsLeaf]]=1),"",IF(Tasks[[#This Row],[_AlapShift]]=0,Tasks[[#This Row],[_LeafFcstFinish]],WORKDAY.INTL(Tasks[[#This Row],[_LeafFcstFinish]],Tasks[[#This Row],[_AlapShift]],WorkWeek,Holidays)))</f>
        <v/>
      </c>
      <c r="DJ198" s="101" t="str">
        <f aca="false">IF(Tasks[[#This Row],[Task Name]]="","",IF(Tasks[[#This Row],[_IsSummary]],MIN(INDEX(Tasks[_ShownCalcStart],Tasks[[#This Row],[_Row]]+1):INDEX(Tasks[_ShownCalcStart],Tasks[[#This Row],[_Row]]+Tasks[[#This Row],[_Descendants]])),Tasks[[#This Row],[_ShownCalcStart]]))</f>
        <v/>
      </c>
      <c r="DK198" s="101" t="str">
        <f aca="false">IF(Tasks[[#This Row],[Task Name]]="","",IF(Tasks[[#This Row],[_IsSummary]],MAX(INDEX(Tasks[_ShownCalcFinish],Tasks[[#This Row],[_Row]]+1):INDEX(Tasks[_ShownCalcFinish],Tasks[[#This Row],[_Row]]+Tasks[[#This Row],[_Descendants]])),Tasks[[#This Row],[_ShownCalcFinish]]))</f>
        <v/>
      </c>
      <c r="D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8" s="41" t="n">
        <f aca="false">IF(AND(Tasks[[#This Row],[_IsLeaf]]=1,Tasks[[#This Row],[_LeafTotalWork]]&gt;0),NETWORKDAYS.INTL(ProjectStart,Tasks[[#This Row],[_ShownFcstStart]],WorkWeek,Holidays),0)</f>
        <v>0</v>
      </c>
      <c r="DY198" s="41" t="n">
        <f aca="false">IF(AND(Tasks[[#This Row],[_IsLeaf]]=1,Tasks[[#This Row],[_LeafTotalWork]]&gt;0),MAX(Tasks[[#This Row],[_StartWorkday]],NETWORKDAYS.INTL(ProjectStart,Tasks[[#This Row],[_ShownFcstFinish]],WorkWeek,Holidays)),0)</f>
        <v>0</v>
      </c>
      <c r="DZ198" s="41" t="n">
        <f aca="false">IF(AND(Tasks[[#This Row],[_IsLeaf]]=1,Tasks[[#This Row],[_LeafTotalWork]]&gt;0),Tasks[[#This Row],[_LeafWork]]/(Tasks[[#This Row],[_FinishWorkday]]-Tasks[[#This Row],[_StartWorkday]]+1),0)</f>
        <v>0</v>
      </c>
      <c r="EA198" s="41" t="n">
        <f aca="false">Tasks[[#This Row],[_WorkPerWorkday]]*(Tasks[[#This Row],[_StartWorkday]]-1)</f>
        <v>-0</v>
      </c>
      <c r="EB198" s="41" t="n">
        <f aca="false">IF(Tasks[[#This Row],[_IsLeaf]]=1,MAX(N(Tasks[[#This Row],[Duration]]),0.1),0)</f>
        <v>0</v>
      </c>
      <c r="EC198" s="41" t="n">
        <f aca="false">Tasks[[#This Row],[_WeightDur]]*Tasks[[#This Row],[_LeafProgress]]</f>
        <v>0</v>
      </c>
      <c r="ED1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8" s="41" t="str">
        <f aca="false">IF(AND(Tasks[[#This Row],[_IsLeaf]]=1,N(Tasks[[#This Row],[Duration]])=0,Tasks[[#This Row],[_LeafProgress]]&lt;1),Tasks[[#This Row],[_ShownFcstFinish]]+Tasks[[#This Row],[_Row]]/100000,"")</f>
        <v/>
      </c>
      <c r="EF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8" s="41" t="n">
        <f aca="false">IF(NOT(Tasks[[#This Row],[_IsLeaf]]=1),0,IF(Tasks[[#This Row],[Baseline Cost]]="",Tasks[[#This Row],[_LeafTotalCost]],N(Tasks[[#This Row],[Baseline Cost]])))</f>
        <v>0</v>
      </c>
      <c r="EH198" s="41" t="n">
        <f aca="false">Tasks[[#This Row],[_LeafBudget]]*Tasks[[#This Row],[_PlannedPct]]</f>
        <v>0</v>
      </c>
      <c r="EI198" s="41" t="n">
        <f aca="false">Tasks[[#This Row],[_LeafBudget]]*Tasks[[#This Row],[_LeafProgress]]</f>
        <v>0</v>
      </c>
      <c r="EJ198" s="41" t="n">
        <f aca="false">IF(NOT(Tasks[[#This Row],[_IsLeaf]]=1),0,IF(Tasks[[#This Row],[Actual Cost]]="",Tasks[[#This Row],[_LeafTotalCost]]*Tasks[[#This Row],[_LeafProgress]],N(Tasks[[#This Row],[Actual Cost]])))</f>
        <v>0</v>
      </c>
      <c r="EK198" s="41" t="str">
        <f aca="false">IF(Tasks[[#This Row],[Task Name]]="","",LEFT(Tasks[[#This Row],[WBS]],FIND(".",Tasks[[#This Row],[WBS]]&amp;".")-1))</f>
        <v/>
      </c>
      <c r="EL198" s="41" t="str">
        <f aca="false">IF(AND(Tasks[[#This Row],[Task Name]]&lt;&gt;"",Tasks[[#This Row],[_Level]]=1),Tasks[[#This Row],[_Row]],"")</f>
        <v/>
      </c>
      <c r="EM198" s="41" t="str">
        <f aca="false">IF(AND(Tasks[[#This Row],[_IsLeaf]]=1,N(Tasks[[#This Row],[Duration]])=0),Tasks[[#This Row],[Planned Finish]]+Tasks[[#This Row],[_Row]]/100000,"")</f>
        <v/>
      </c>
      <c r="EN198" s="41" t="str">
        <f aca="false">IF(AND(Tasks[[#This Row],[_IsLeaf]]=1,Tasks[[#This Row],[_LeafProgress]]&lt;1,OR(N(Tasks[[#This Row],[Finish Var]])&gt;0,Tasks[[#This Row],[Status]]="Late Start")),MAX(0,Tasks[[#This Row],[Finish Var]])+1-Tasks[[#This Row],[_Row]]/1000000,"")</f>
        <v/>
      </c>
      <c r="EO198" s="41" t="str">
        <f aca="false">IF(AND(Tasks[[#This Row],[_IsLeaf]]=1,N(Tasks[[#This Row],[Actual Start]])=0,Tasks[[#This Row],[_ShownFcstStart]]&gt;=StatusDate,Tasks[[#This Row],[_ShownFcstStart]]&lt;=LookaheadEnd),Tasks[[#This Row],[_ShownFcstStart]]+Tasks[[#This Row],[_Row]]/100000,"")</f>
        <v/>
      </c>
      <c r="EP198" s="41" t="str">
        <f aca="false">IF(AND(Tasks[[#This Row],[_IsLeaf]]=1,Tasks[[#This Row],[_LeafProgress]]&lt;1,Tasks[[#This Row],[_ShownFcstFinish]]&gt;=StatusDate,Tasks[[#This Row],[_ShownFcstFinish]]&lt;=LookaheadEnd),Tasks[[#This Row],[_ShownFcstFinish]]+Tasks[[#This Row],[_Row]]/100000,"")</f>
        <v/>
      </c>
      <c r="EQ198" s="41" t="str">
        <f aca="false">IF(Tasks[[#This Row],[_LeafCritical]],Tasks[[#This Row],[_ShownFcstStart]]+Tasks[[#This Row],[_Row]]/100000,"")</f>
        <v/>
      </c>
      <c r="ER198" s="41" t="n">
        <f aca="false">Tasks[[#This Row],[_LeafWork]]*Tasks[[#This Row],[_LeafProgress]]</f>
        <v>0</v>
      </c>
      <c r="ES198" s="101" t="str">
        <f aca="false">IF(AND(Tasks[[#This Row],[_IsLeaf]]=1,Tasks[[#This Row],[_LeafProgress]]&gt;=1),IF(N(Tasks[[#This Row],[Actual Finish]])&gt;0,Tasks[[#This Row],[Actual Finish]],Tasks[[#This Row],[_ShownFcstFinish]]),"")</f>
        <v/>
      </c>
      <c r="ET198" s="41" t="n">
        <f aca="false">IF(Tasks[[#This Row],[_IsLeaf]]=1,N(Tasks[[#This Row],[Story Points]]),0)</f>
        <v>0</v>
      </c>
      <c r="EU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29"/>
      <c r="O199" s="29"/>
      <c r="P199" s="29"/>
      <c r="Q199" s="29"/>
      <c r="R199" s="29"/>
      <c r="S199" s="29"/>
      <c r="T199" s="30"/>
      <c r="U199" s="75"/>
      <c r="V199" s="75"/>
      <c r="W199" s="25" t="str">
        <f aca="false">IF(Tasks[[#This Row],[Task Name]]="","",IF(N(Tasks[[#This Row],[Baseline Start]])&gt;0,Tasks[[#This Row],[Baseline Start]],Tasks[[#This Row],[_CalcStart]]))</f>
        <v/>
      </c>
      <c r="X199" s="25" t="str">
        <f aca="false">IF(Tasks[[#This Row],[Task Name]]="","",IF(N(Tasks[[#This Row],[Baseline Finish]])&gt;0,Tasks[[#This Row],[Baseline Finish]],Tasks[[#This Row],[_CalcFinish]]))</f>
        <v/>
      </c>
      <c r="Y199" s="75"/>
      <c r="Z199" s="75"/>
      <c r="AA199" s="25" t="str">
        <f aca="false">IF(Tasks[[#This Row],[Task Name]]="","",IF(Tasks[[#This Row],[_IsSummary]],MIN(INDEX(Tasks[_ShownFcstStart],Tasks[[#This Row],[_Row]]+1):INDEX(Tasks[_ShownFcstStart],Tasks[[#This Row],[_Row]]+Tasks[[#This Row],[_Descendants]])),Tasks[[#This Row],[_ShownFcstStart]]))</f>
        <v/>
      </c>
      <c r="AB199" s="25" t="str">
        <f aca="false">IF(Tasks[[#This Row],[Task Name]]="","",IF(Tasks[[#This Row],[_IsSummary]],MAX(INDEX(Tasks[_ShownFcstFinish],Tasks[[#This Row],[_Row]]+1):INDEX(Tasks[_ShownFcstFinish],Tasks[[#This Row],[_Row]]+Tasks[[#This Row],[_Descendants]])),Tasks[[#This Row],[_ShownFcstFinish]]))</f>
        <v/>
      </c>
      <c r="AC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9" s="25" t="str">
        <f aca="false">IF(Tasks[[#This Row],[Task Name]]="","",IF(Tasks[[#This Row],[_IsSummary]],MIN(INDEX(Tasks[_LeafLateStart],Tasks[[#This Row],[_Row]]+1):INDEX(Tasks[_LeafLateStart],Tasks[[#This Row],[_Row]]+Tasks[[#This Row],[_Descendants]])),Tasks[[#This Row],[_LeafLateStart]]))</f>
        <v/>
      </c>
      <c r="AF199" s="25" t="str">
        <f aca="false">IF(Tasks[[#This Row],[Task Name]]="","",IF(Tasks[[#This Row],[_IsSummary]],MAX(INDEX(Tasks[_LeafLateFinish],Tasks[[#This Row],[_Row]]+1):INDEX(Tasks[_LeafLateFinish],Tasks[[#This Row],[_Row]]+Tasks[[#This Row],[_Descendants]])),Tasks[[#This Row],[_LeafLateFinish]]))</f>
        <v/>
      </c>
      <c r="AG199" s="28" t="str">
        <f aca="false">IF(Tasks[[#This Row],[Task Name]]="","",IF(Tasks[[#This Row],[_IsSummary]],MIN(INDEX(Tasks[_LeafTotalSlack],Tasks[[#This Row],[_Row]]+1):INDEX(Tasks[_LeafTotalSlack],Tasks[[#This Row],[_Row]]+Tasks[[#This Row],[_Descendants]])),Tasks[[#This Row],[_LeafTotalSlack]]))</f>
        <v/>
      </c>
      <c r="AH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9" s="28" t="str">
        <f aca="false">IF(Tasks[[#This Row],[Task Name]]="","",IF(IF(Tasks[[#This Row],[_IsSummary]],COUNTIF(INDEX(Tasks[_LeafCritical],Tasks[[#This Row],[_Row]]+1):INDEX(Tasks[_LeafCritical],Tasks[[#This Row],[_Row]]+Tasks[[#This Row],[_Descendants]]),TRUE())&gt;0,Tasks[[#This Row],[_LeafCritical]]),"Yes",""))</f>
        <v/>
      </c>
      <c r="AJ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9" s="89"/>
      <c r="AM1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9" s="28" t="str">
        <f aca="false">IF(Tasks[[#This Row],[Task Name]]="","",IF(Tasks[[#This Row],[Progress]]&gt;=1,"Complete",IF(OR(N(Tasks[[#This Row],[Actual Start]])&gt;0,Tasks[[#This Row],[Progress]]&gt;0),IF(Tasks[[#This Row],[Finish Var]]&gt;0,"Behind","In Progress"),IF(Tasks[[#This Row],[Planned Start]]&lt;StatusDate,"Late Start","Not Started"))))</f>
        <v/>
      </c>
      <c r="AO199" s="30"/>
      <c r="AP199" s="89"/>
      <c r="AQ1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9" s="96" t="str">
        <f aca="false">IF(Tasks[[#This Row],[Task Name]]="","",IF(Tasks[[#This Row],[_IsSummary]],SUM(INDEX(Tasks[_LeafTotalWork],Tasks[[#This Row],[_Row]]+1):INDEX(Tasks[_LeafTotalWork],Tasks[[#This Row],[_Row]]+Tasks[[#This Row],[_Descendants]])),Tasks[[#This Row],[_LeafTotalWork]]))</f>
        <v/>
      </c>
      <c r="AT199" s="97" t="str">
        <f aca="false">IF(Tasks[[#This Row],[Task Name]]="","",IF(Tasks[[#This Row],[_IsSummary]],SUM(INDEX(Tasks[_LeafTotalCost],Tasks[[#This Row],[_Row]]+1):INDEX(Tasks[_LeafTotalCost],Tasks[[#This Row],[_Row]]+Tasks[[#This Row],[_Descendants]])),Tasks[[#This Row],[_LeafTotalCost]]))</f>
        <v/>
      </c>
      <c r="AU199" s="98"/>
      <c r="AV199" s="29"/>
      <c r="AW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9" s="83"/>
      <c r="AY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9" s="30"/>
      <c r="BA199" s="25" t="str">
        <f aca="false">IF(Tasks[[#This Row],[Task Name]]="","",Tasks[[#This Row],[Forecast Start]])</f>
        <v/>
      </c>
      <c r="BB199" s="25" t="str">
        <f aca="false">IF(Tasks[[#This Row],[Task Name]]="","",Tasks[[#This Row],[Forecast Finish]])</f>
        <v/>
      </c>
      <c r="BC199" s="28" t="str">
        <f aca="false">IF(Tasks[[#This Row],[Task Name]]="","",IF(Tasks[[#This Row],[_IsSummary]],NETWORKDAYS.INTL(Tasks[[#This Row],[Forecast Start]],Tasks[[#This Row],[Forecast Finish]],WorkWeek,Holidays),N(Tasks[[#This Row],[Duration]])))</f>
        <v/>
      </c>
      <c r="BD199" s="96" t="str">
        <f aca="false">IF(Tasks[[#This Row],[Task Name]]="","",Tasks[[#This Row],[Work]])</f>
        <v/>
      </c>
      <c r="BE199" s="97" t="str">
        <f aca="false">IF(Tasks[[#This Row],[Task Name]]="","",Tasks[[#This Row],[Cost]])</f>
        <v/>
      </c>
      <c r="BF199" s="75"/>
      <c r="BG199" s="75"/>
      <c r="BH199" s="29"/>
      <c r="BI199" s="99"/>
      <c r="BJ199" s="98"/>
      <c r="BK199" s="28" t="str">
        <f aca="false">IF(OR(Tasks[[#This Row],[Task Name]]="",Tasks[[#This Row],[Baseline Duration]]=""),"",Tasks[[#This Row],[BL Source Duration]]-N(Tasks[[#This Row],[Baseline Duration]]))</f>
        <v/>
      </c>
      <c r="BL199" s="96" t="str">
        <f aca="false">IF(OR(Tasks[[#This Row],[Task Name]]="",Tasks[[#This Row],[Baseline Work]]=""),"",Tasks[[#This Row],[Work]]-N(Tasks[[#This Row],[Baseline Work]]))</f>
        <v/>
      </c>
      <c r="BM199" s="97" t="str">
        <f aca="false">IF(OR(Tasks[[#This Row],[Task Name]]="",Tasks[[#This Row],[Baseline Cost]]=""),"",Tasks[[#This Row],[Cost]]-N(Tasks[[#This Row],[Baseline Cost]]))</f>
        <v/>
      </c>
      <c r="BN199" s="97" t="str">
        <f aca="false">IF(Tasks[[#This Row],[Task Name]]="","",IF(Tasks[[#This Row],[_IsSummary]],SUM(INDEX(Tasks[_LeafBudget],Tasks[[#This Row],[_Row]]+1):INDEX(Tasks[_LeafBudget],Tasks[[#This Row],[_Row]]+Tasks[[#This Row],[_Descendants]])),Tasks[[#This Row],[_LeafBudget]]))</f>
        <v/>
      </c>
      <c r="BO199" s="97" t="str">
        <f aca="false">IF(Tasks[[#This Row],[Task Name]]="","",IF(Tasks[[#This Row],[_IsSummary]],SUM(INDEX(Tasks[_LeafPV],Tasks[[#This Row],[_Row]]+1):INDEX(Tasks[_LeafPV],Tasks[[#This Row],[_Row]]+Tasks[[#This Row],[_Descendants]])),Tasks[[#This Row],[_LeafPV]]))</f>
        <v/>
      </c>
      <c r="BP199" s="97" t="str">
        <f aca="false">IF(Tasks[[#This Row],[Task Name]]="","",IF(Tasks[[#This Row],[_IsSummary]],SUM(INDEX(Tasks[_LeafEV],Tasks[[#This Row],[_Row]]+1):INDEX(Tasks[_LeafEV],Tasks[[#This Row],[_Row]]+Tasks[[#This Row],[_Descendants]])),Tasks[[#This Row],[_LeafEV]]))</f>
        <v/>
      </c>
      <c r="BQ199" s="97" t="str">
        <f aca="false">IF(Tasks[[#This Row],[Task Name]]="","",IF(Tasks[[#This Row],[_IsSummary]],SUM(INDEX(Tasks[_LeafAC],Tasks[[#This Row],[_Row]]+1):INDEX(Tasks[_LeafAC],Tasks[[#This Row],[_Row]]+Tasks[[#This Row],[_Descendants]])),Tasks[[#This Row],[_LeafAC]]))</f>
        <v/>
      </c>
      <c r="BR199" s="41" t="str">
        <f aca="false">IF(Tasks[[#This Row],[Task Name]]="","",MAX(1,N(Tasks[[#This Row],[Level]])))</f>
        <v/>
      </c>
      <c r="BS199" s="41" t="n">
        <f aca="false">ROW()-ROW(Tasks[[#Headers],[ID]])</f>
        <v>194</v>
      </c>
      <c r="BT199" s="41" t="n">
        <f aca="false">IF(OR(Tasks[[#This Row],[Task Name]]="",Tasks[[#This Row],[_Level]]&lt;=1),0,IFERROR(LOOKUP(2,1/(Tasks[[#Headers],[_Level]]:Tasks[[#This Row],[_Level]]=Tasks[[#This Row],[_Level]]-1),ROW(Tasks[[#Headers],[_Level]]:Tasks[[#This Row],[_Level]])),0))</f>
        <v>0</v>
      </c>
      <c r="BU199" s="41" t="n">
        <f aca="false">IFERROR(N(INDEX(Tasks[_Level],Tasks[[#This Row],[_Row]]+1)),0)</f>
        <v>0</v>
      </c>
      <c r="BV199" s="100" t="b">
        <f aca="false">AND(Tasks[[#This Row],[Task Name]]&lt;&gt;"",Tasks[[#This Row],[_NextLevel]]&gt;Tasks[[#This Row],[_Level]])</f>
        <v>0</v>
      </c>
      <c r="BW199" s="41" t="n">
        <f aca="false">IF(Tasks[[#This Row],[_IsSummary]],COUNTIF(Tasks[WBS],Tasks[[#This Row],[WBS]]&amp;".*"),0)</f>
        <v>0</v>
      </c>
      <c r="BX199" s="41" t="n">
        <f aca="false">IF(AND(Tasks[[#This Row],[Task Name]]&lt;&gt;"",NOT(Tasks[[#This Row],[_IsSummary]])),1,0)</f>
        <v>0</v>
      </c>
      <c r="BY199" s="41" t="n">
        <f aca="false">IF(N(Tasks[[#This Row],[Pred1 UID]])=0,0,IFERROR(MATCH(Tasks[[#This Row],[Pred1 UID]],Tasks[UID],0),-1))</f>
        <v>0</v>
      </c>
      <c r="BZ199" s="41" t="n">
        <f aca="false">IF(N(Tasks[[#This Row],[Pred2 UID]])=0,0,IFERROR(MATCH(Tasks[[#This Row],[Pred2 UID]],Tasks[UID],0),-1))</f>
        <v>0</v>
      </c>
      <c r="CA199" s="41" t="n">
        <f aca="false">IF(N(Tasks[[#This Row],[Pred3 UID]])=0,0,IFERROR(MATCH(Tasks[[#This Row],[Pred3 UID]],Tasks[UID],0),-1))</f>
        <v>0</v>
      </c>
      <c r="CB199" s="41" t="n">
        <f aca="false">IF(N(Tasks[[#This Row],[Pred4 UID]])=0,0,IFERROR(MATCH(Tasks[[#This Row],[Pred4 UID]],Tasks[UID],0),-1))</f>
        <v>0</v>
      </c>
      <c r="CC1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9" s="101" t="n">
        <f aca="false">IF(OR(Tasks[[#This Row],[_ConstraintCode]]=2,Tasks[[#This Row],[_ConstraintCode]]=3,Tasks[[#This Row],[_ConstraintCode]]=4,Tasks[[#This Row],[_ConstraintCode]]=6),Tasks[[#This Row],[_ConstraintStart]],0)</f>
        <v>0</v>
      </c>
      <c r="CF199" s="101" t="n">
        <f aca="false">IF(OR(Tasks[[#This Row],[_ConstraintCode]]=2,Tasks[[#This Row],[_ConstraintCode]]=3,Tasks[[#This Row],[_ConstraintCode]]=5,Tasks[[#This Row],[_ConstraintCode]]=7),Tasks[[#This Row],[_ConstraintStart]],2958465)</f>
        <v>2958465</v>
      </c>
      <c r="CG19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9" s="101" t="str">
        <f aca="false">IF(NOT(Tasks[[#This Row],[_IsLeaf]]=1),"",IF(N(Tasks[[#This Row],[Duration]])&lt;=0,Tasks[[#This Row],[_LeafCalcStart]],WORKDAY.INTL(Tasks[[#This Row],[_LeafCalcStart]],Tasks[[#This Row],[Duration]]-1,WorkWeek,Holidays)))</f>
        <v/>
      </c>
      <c r="CI19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9" s="41" t="n">
        <f aca="false">IF(NOT(Tasks[[#This Row],[_IsLeaf]]=1),0,IF(N(Tasks[[#This Row],[Actual Finish]])&gt;0,1,MIN(1,N(Tasks[[#This Row],[% Complete]]))))</f>
        <v>0</v>
      </c>
      <c r="CL199" s="41" t="n">
        <f aca="false">IF(OR(NOT(Tasks[[#This Row],[_IsLeaf]]=1),Tasks[[#This Row],[Resource]]=""),0,N(Tasks[[#This Row],[Duration]])*HoursPerDay*IF(Tasks[[#This Row],[Units]]="",DefaultUnits,Tasks[[#This Row],[Units]]))</f>
        <v>0</v>
      </c>
      <c r="CM199" s="41" t="n">
        <f aca="false">IF(Tasks[[#This Row],[_LeafWork]]=0,0,Tasks[[#This Row],[_LeafWork]]*IFERROR(INDEX(res_Rate,MATCH(Tasks[[#This Row],[Resource]],res_Name,0)),0))</f>
        <v>0</v>
      </c>
      <c r="CN199" s="41" t="n">
        <f aca="false">Tasks[[#This Row],[_LeafWork]]+IF(Tasks[[#This Row],[_IsLeaf]]=1,SUMIFS(asg_Work,asg_TaskUID,Tasks[[#This Row],[UID]],asg_Valid,1),0)</f>
        <v>0</v>
      </c>
      <c r="CO199" s="41" t="n">
        <f aca="false">Tasks[[#This Row],[_LeafCost]]+IF(Tasks[[#This Row],[_IsLeaf]]=1,SUMIFS(asg_Cost,asg_TaskUID,Tasks[[#This Row],[UID]],asg_Valid,1),0)</f>
        <v>0</v>
      </c>
      <c r="CP199" s="41" t="n">
        <f aca="false">IF(Tasks[[#This Row],[_LeafTotalCost]]=0,Tasks[[#This Row],[_LeafAC]],Tasks[[#This Row],[_LeafAC]]*Tasks[[#This Row],[_LeafCost]]/Tasks[[#This Row],[_LeafTotalCost]])</f>
        <v>0</v>
      </c>
      <c r="CQ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9" s="41" t="n">
        <f aca="false">IF(NOT(Tasks[[#This Row],[_IsLeaf]]=1),0,MAX(_xlfn.MAXIFS(Tasks[_Row],Tasks[Pred1 UID],Tasks[[#This Row],[UID]]),_xlfn.MAXIFS(Tasks[_Row],Tasks[Pred2 UID],Tasks[[#This Row],[UID]]),_xlfn.MAXIFS(Tasks[_Row],Tasks[Pred3 UID],Tasks[[#This Row],[UID]]),_xlfn.MAXIFS(Tasks[_Row],Tasks[Pred4 UID],Tasks[[#This Row],[UID]])))</f>
        <v>0</v>
      </c>
      <c r="CZ1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9" s="101" t="str">
        <f aca="false">IF(NOT(Tasks[[#This Row],[_IsLeaf]]=1),"",IF(N(Tasks[[#This Row],[Duration]])&lt;=0,Tasks[[#This Row],[_LeafLateFinish]],WORKDAY.INTL(Tasks[[#This Row],[_LeafLateFinish]],-(Tasks[[#This Row],[Duration]]-1),WorkWeek,Holidays)))</f>
        <v/>
      </c>
      <c r="DC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9" s="100" t="b">
        <f aca="false">AND(Tasks[[#This Row],[_IsLeaf]]=1,Tasks[[#This Row],[_LeafProgress]]&lt;1,N(Tasks[[#This Row],[_LeafTotalSlack]])&lt;=CriticalSlackDays)</f>
        <v>0</v>
      </c>
      <c r="DE199" s="41" t="n">
        <f aca="false">IF(AND(Tasks[[#This Row],[_IsLeaf]]=1,Tasks[[#This Row],[_ConstraintCode]]=1,Tasks[[#This Row],[Mode]]&lt;&gt;"Manual",N(Tasks[[#This Row],[Actual Start]])=0),MAX(0,N(Tasks[[#This Row],[Free Slack]])),0)</f>
        <v>0</v>
      </c>
      <c r="DF199" s="101" t="str">
        <f aca="false">IF(NOT(Tasks[[#This Row],[_IsLeaf]]=1),"",IF(Tasks[[#This Row],[_AlapShift]]=0,Tasks[[#This Row],[_LeafCalcStart]],WORKDAY.INTL(Tasks[[#This Row],[_LeafCalcStart]],Tasks[[#This Row],[_AlapShift]],WorkWeek,Holidays)))</f>
        <v/>
      </c>
      <c r="DG199" s="101" t="str">
        <f aca="false">IF(NOT(Tasks[[#This Row],[_IsLeaf]]=1),"",IF(Tasks[[#This Row],[_AlapShift]]=0,Tasks[[#This Row],[_LeafCalcFinish]],WORKDAY.INTL(Tasks[[#This Row],[_LeafCalcFinish]],Tasks[[#This Row],[_AlapShift]],WorkWeek,Holidays)))</f>
        <v/>
      </c>
      <c r="DH199" s="101" t="str">
        <f aca="false">IF(NOT(Tasks[[#This Row],[_IsLeaf]]=1),"",IF(Tasks[[#This Row],[_AlapShift]]=0,Tasks[[#This Row],[_LeafFcstStart]],WORKDAY.INTL(Tasks[[#This Row],[_LeafFcstStart]],Tasks[[#This Row],[_AlapShift]],WorkWeek,Holidays)))</f>
        <v/>
      </c>
      <c r="DI199" s="101" t="str">
        <f aca="false">IF(NOT(Tasks[[#This Row],[_IsLeaf]]=1),"",IF(Tasks[[#This Row],[_AlapShift]]=0,Tasks[[#This Row],[_LeafFcstFinish]],WORKDAY.INTL(Tasks[[#This Row],[_LeafFcstFinish]],Tasks[[#This Row],[_AlapShift]],WorkWeek,Holidays)))</f>
        <v/>
      </c>
      <c r="DJ199" s="101" t="str">
        <f aca="false">IF(Tasks[[#This Row],[Task Name]]="","",IF(Tasks[[#This Row],[_IsSummary]],MIN(INDEX(Tasks[_ShownCalcStart],Tasks[[#This Row],[_Row]]+1):INDEX(Tasks[_ShownCalcStart],Tasks[[#This Row],[_Row]]+Tasks[[#This Row],[_Descendants]])),Tasks[[#This Row],[_ShownCalcStart]]))</f>
        <v/>
      </c>
      <c r="DK199" s="101" t="str">
        <f aca="false">IF(Tasks[[#This Row],[Task Name]]="","",IF(Tasks[[#This Row],[_IsSummary]],MAX(INDEX(Tasks[_ShownCalcFinish],Tasks[[#This Row],[_Row]]+1):INDEX(Tasks[_ShownCalcFinish],Tasks[[#This Row],[_Row]]+Tasks[[#This Row],[_Descendants]])),Tasks[[#This Row],[_ShownCalcFinish]]))</f>
        <v/>
      </c>
      <c r="D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9" s="41" t="n">
        <f aca="false">IF(AND(Tasks[[#This Row],[_IsLeaf]]=1,Tasks[[#This Row],[_LeafTotalWork]]&gt;0),NETWORKDAYS.INTL(ProjectStart,Tasks[[#This Row],[_ShownFcstStart]],WorkWeek,Holidays),0)</f>
        <v>0</v>
      </c>
      <c r="DY199" s="41" t="n">
        <f aca="false">IF(AND(Tasks[[#This Row],[_IsLeaf]]=1,Tasks[[#This Row],[_LeafTotalWork]]&gt;0),MAX(Tasks[[#This Row],[_StartWorkday]],NETWORKDAYS.INTL(ProjectStart,Tasks[[#This Row],[_ShownFcstFinish]],WorkWeek,Holidays)),0)</f>
        <v>0</v>
      </c>
      <c r="DZ199" s="41" t="n">
        <f aca="false">IF(AND(Tasks[[#This Row],[_IsLeaf]]=1,Tasks[[#This Row],[_LeafTotalWork]]&gt;0),Tasks[[#This Row],[_LeafWork]]/(Tasks[[#This Row],[_FinishWorkday]]-Tasks[[#This Row],[_StartWorkday]]+1),0)</f>
        <v>0</v>
      </c>
      <c r="EA199" s="41" t="n">
        <f aca="false">Tasks[[#This Row],[_WorkPerWorkday]]*(Tasks[[#This Row],[_StartWorkday]]-1)</f>
        <v>-0</v>
      </c>
      <c r="EB199" s="41" t="n">
        <f aca="false">IF(Tasks[[#This Row],[_IsLeaf]]=1,MAX(N(Tasks[[#This Row],[Duration]]),0.1),0)</f>
        <v>0</v>
      </c>
      <c r="EC199" s="41" t="n">
        <f aca="false">Tasks[[#This Row],[_WeightDur]]*Tasks[[#This Row],[_LeafProgress]]</f>
        <v>0</v>
      </c>
      <c r="ED1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9" s="41" t="str">
        <f aca="false">IF(AND(Tasks[[#This Row],[_IsLeaf]]=1,N(Tasks[[#This Row],[Duration]])=0,Tasks[[#This Row],[_LeafProgress]]&lt;1),Tasks[[#This Row],[_ShownFcstFinish]]+Tasks[[#This Row],[_Row]]/100000,"")</f>
        <v/>
      </c>
      <c r="EF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9" s="41" t="n">
        <f aca="false">IF(NOT(Tasks[[#This Row],[_IsLeaf]]=1),0,IF(Tasks[[#This Row],[Baseline Cost]]="",Tasks[[#This Row],[_LeafTotalCost]],N(Tasks[[#This Row],[Baseline Cost]])))</f>
        <v>0</v>
      </c>
      <c r="EH199" s="41" t="n">
        <f aca="false">Tasks[[#This Row],[_LeafBudget]]*Tasks[[#This Row],[_PlannedPct]]</f>
        <v>0</v>
      </c>
      <c r="EI199" s="41" t="n">
        <f aca="false">Tasks[[#This Row],[_LeafBudget]]*Tasks[[#This Row],[_LeafProgress]]</f>
        <v>0</v>
      </c>
      <c r="EJ199" s="41" t="n">
        <f aca="false">IF(NOT(Tasks[[#This Row],[_IsLeaf]]=1),0,IF(Tasks[[#This Row],[Actual Cost]]="",Tasks[[#This Row],[_LeafTotalCost]]*Tasks[[#This Row],[_LeafProgress]],N(Tasks[[#This Row],[Actual Cost]])))</f>
        <v>0</v>
      </c>
      <c r="EK199" s="41" t="str">
        <f aca="false">IF(Tasks[[#This Row],[Task Name]]="","",LEFT(Tasks[[#This Row],[WBS]],FIND(".",Tasks[[#This Row],[WBS]]&amp;".")-1))</f>
        <v/>
      </c>
      <c r="EL199" s="41" t="str">
        <f aca="false">IF(AND(Tasks[[#This Row],[Task Name]]&lt;&gt;"",Tasks[[#This Row],[_Level]]=1),Tasks[[#This Row],[_Row]],"")</f>
        <v/>
      </c>
      <c r="EM199" s="41" t="str">
        <f aca="false">IF(AND(Tasks[[#This Row],[_IsLeaf]]=1,N(Tasks[[#This Row],[Duration]])=0),Tasks[[#This Row],[Planned Finish]]+Tasks[[#This Row],[_Row]]/100000,"")</f>
        <v/>
      </c>
      <c r="EN199" s="41" t="str">
        <f aca="false">IF(AND(Tasks[[#This Row],[_IsLeaf]]=1,Tasks[[#This Row],[_LeafProgress]]&lt;1,OR(N(Tasks[[#This Row],[Finish Var]])&gt;0,Tasks[[#This Row],[Status]]="Late Start")),MAX(0,Tasks[[#This Row],[Finish Var]])+1-Tasks[[#This Row],[_Row]]/1000000,"")</f>
        <v/>
      </c>
      <c r="EO199" s="41" t="str">
        <f aca="false">IF(AND(Tasks[[#This Row],[_IsLeaf]]=1,N(Tasks[[#This Row],[Actual Start]])=0,Tasks[[#This Row],[_ShownFcstStart]]&gt;=StatusDate,Tasks[[#This Row],[_ShownFcstStart]]&lt;=LookaheadEnd),Tasks[[#This Row],[_ShownFcstStart]]+Tasks[[#This Row],[_Row]]/100000,"")</f>
        <v/>
      </c>
      <c r="EP199" s="41" t="str">
        <f aca="false">IF(AND(Tasks[[#This Row],[_IsLeaf]]=1,Tasks[[#This Row],[_LeafProgress]]&lt;1,Tasks[[#This Row],[_ShownFcstFinish]]&gt;=StatusDate,Tasks[[#This Row],[_ShownFcstFinish]]&lt;=LookaheadEnd),Tasks[[#This Row],[_ShownFcstFinish]]+Tasks[[#This Row],[_Row]]/100000,"")</f>
        <v/>
      </c>
      <c r="EQ199" s="41" t="str">
        <f aca="false">IF(Tasks[[#This Row],[_LeafCritical]],Tasks[[#This Row],[_ShownFcstStart]]+Tasks[[#This Row],[_Row]]/100000,"")</f>
        <v/>
      </c>
      <c r="ER199" s="41" t="n">
        <f aca="false">Tasks[[#This Row],[_LeafWork]]*Tasks[[#This Row],[_LeafProgress]]</f>
        <v>0</v>
      </c>
      <c r="ES199" s="101" t="str">
        <f aca="false">IF(AND(Tasks[[#This Row],[_IsLeaf]]=1,Tasks[[#This Row],[_LeafProgress]]&gt;=1),IF(N(Tasks[[#This Row],[Actual Finish]])&gt;0,Tasks[[#This Row],[Actual Finish]],Tasks[[#This Row],[_ShownFcstFinish]]),"")</f>
        <v/>
      </c>
      <c r="ET199" s="41" t="n">
        <f aca="false">IF(Tasks[[#This Row],[_IsLeaf]]=1,N(Tasks[[#This Row],[Story Points]]),0)</f>
        <v>0</v>
      </c>
      <c r="EU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29"/>
      <c r="O200" s="29"/>
      <c r="P200" s="29"/>
      <c r="Q200" s="29"/>
      <c r="R200" s="29"/>
      <c r="S200" s="29"/>
      <c r="T200" s="30"/>
      <c r="U200" s="75"/>
      <c r="V200" s="75"/>
      <c r="W200" s="25" t="str">
        <f aca="false">IF(Tasks[[#This Row],[Task Name]]="","",IF(N(Tasks[[#This Row],[Baseline Start]])&gt;0,Tasks[[#This Row],[Baseline Start]],Tasks[[#This Row],[_CalcStart]]))</f>
        <v/>
      </c>
      <c r="X200" s="25" t="str">
        <f aca="false">IF(Tasks[[#This Row],[Task Name]]="","",IF(N(Tasks[[#This Row],[Baseline Finish]])&gt;0,Tasks[[#This Row],[Baseline Finish]],Tasks[[#This Row],[_CalcFinish]]))</f>
        <v/>
      </c>
      <c r="Y200" s="75"/>
      <c r="Z200" s="75"/>
      <c r="AA200" s="25" t="str">
        <f aca="false">IF(Tasks[[#This Row],[Task Name]]="","",IF(Tasks[[#This Row],[_IsSummary]],MIN(INDEX(Tasks[_ShownFcstStart],Tasks[[#This Row],[_Row]]+1):INDEX(Tasks[_ShownFcstStart],Tasks[[#This Row],[_Row]]+Tasks[[#This Row],[_Descendants]])),Tasks[[#This Row],[_ShownFcstStart]]))</f>
        <v/>
      </c>
      <c r="AB200" s="25" t="str">
        <f aca="false">IF(Tasks[[#This Row],[Task Name]]="","",IF(Tasks[[#This Row],[_IsSummary]],MAX(INDEX(Tasks[_ShownFcstFinish],Tasks[[#This Row],[_Row]]+1):INDEX(Tasks[_ShownFcstFinish],Tasks[[#This Row],[_Row]]+Tasks[[#This Row],[_Descendants]])),Tasks[[#This Row],[_ShownFcstFinish]]))</f>
        <v/>
      </c>
      <c r="AC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0" s="25" t="str">
        <f aca="false">IF(Tasks[[#This Row],[Task Name]]="","",IF(Tasks[[#This Row],[_IsSummary]],MIN(INDEX(Tasks[_LeafLateStart],Tasks[[#This Row],[_Row]]+1):INDEX(Tasks[_LeafLateStart],Tasks[[#This Row],[_Row]]+Tasks[[#This Row],[_Descendants]])),Tasks[[#This Row],[_LeafLateStart]]))</f>
        <v/>
      </c>
      <c r="AF200" s="25" t="str">
        <f aca="false">IF(Tasks[[#This Row],[Task Name]]="","",IF(Tasks[[#This Row],[_IsSummary]],MAX(INDEX(Tasks[_LeafLateFinish],Tasks[[#This Row],[_Row]]+1):INDEX(Tasks[_LeafLateFinish],Tasks[[#This Row],[_Row]]+Tasks[[#This Row],[_Descendants]])),Tasks[[#This Row],[_LeafLateFinish]]))</f>
        <v/>
      </c>
      <c r="AG200" s="28" t="str">
        <f aca="false">IF(Tasks[[#This Row],[Task Name]]="","",IF(Tasks[[#This Row],[_IsSummary]],MIN(INDEX(Tasks[_LeafTotalSlack],Tasks[[#This Row],[_Row]]+1):INDEX(Tasks[_LeafTotalSlack],Tasks[[#This Row],[_Row]]+Tasks[[#This Row],[_Descendants]])),Tasks[[#This Row],[_LeafTotalSlack]]))</f>
        <v/>
      </c>
      <c r="AH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0" s="28" t="str">
        <f aca="false">IF(Tasks[[#This Row],[Task Name]]="","",IF(IF(Tasks[[#This Row],[_IsSummary]],COUNTIF(INDEX(Tasks[_LeafCritical],Tasks[[#This Row],[_Row]]+1):INDEX(Tasks[_LeafCritical],Tasks[[#This Row],[_Row]]+Tasks[[#This Row],[_Descendants]]),TRUE())&gt;0,Tasks[[#This Row],[_LeafCritical]]),"Yes",""))</f>
        <v/>
      </c>
      <c r="AJ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0" s="89"/>
      <c r="AM2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0" s="28" t="str">
        <f aca="false">IF(Tasks[[#This Row],[Task Name]]="","",IF(Tasks[[#This Row],[Progress]]&gt;=1,"Complete",IF(OR(N(Tasks[[#This Row],[Actual Start]])&gt;0,Tasks[[#This Row],[Progress]]&gt;0),IF(Tasks[[#This Row],[Finish Var]]&gt;0,"Behind","In Progress"),IF(Tasks[[#This Row],[Planned Start]]&lt;StatusDate,"Late Start","Not Started"))))</f>
        <v/>
      </c>
      <c r="AO200" s="30"/>
      <c r="AP200" s="89"/>
      <c r="AQ2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0" s="96" t="str">
        <f aca="false">IF(Tasks[[#This Row],[Task Name]]="","",IF(Tasks[[#This Row],[_IsSummary]],SUM(INDEX(Tasks[_LeafTotalWork],Tasks[[#This Row],[_Row]]+1):INDEX(Tasks[_LeafTotalWork],Tasks[[#This Row],[_Row]]+Tasks[[#This Row],[_Descendants]])),Tasks[[#This Row],[_LeafTotalWork]]))</f>
        <v/>
      </c>
      <c r="AT200" s="97" t="str">
        <f aca="false">IF(Tasks[[#This Row],[Task Name]]="","",IF(Tasks[[#This Row],[_IsSummary]],SUM(INDEX(Tasks[_LeafTotalCost],Tasks[[#This Row],[_Row]]+1):INDEX(Tasks[_LeafTotalCost],Tasks[[#This Row],[_Row]]+Tasks[[#This Row],[_Descendants]])),Tasks[[#This Row],[_LeafTotalCost]]))</f>
        <v/>
      </c>
      <c r="AU200" s="98"/>
      <c r="AV200" s="29"/>
      <c r="AW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0" s="83"/>
      <c r="AY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0" s="30"/>
      <c r="BA200" s="25" t="str">
        <f aca="false">IF(Tasks[[#This Row],[Task Name]]="","",Tasks[[#This Row],[Forecast Start]])</f>
        <v/>
      </c>
      <c r="BB200" s="25" t="str">
        <f aca="false">IF(Tasks[[#This Row],[Task Name]]="","",Tasks[[#This Row],[Forecast Finish]])</f>
        <v/>
      </c>
      <c r="BC200" s="28" t="str">
        <f aca="false">IF(Tasks[[#This Row],[Task Name]]="","",IF(Tasks[[#This Row],[_IsSummary]],NETWORKDAYS.INTL(Tasks[[#This Row],[Forecast Start]],Tasks[[#This Row],[Forecast Finish]],WorkWeek,Holidays),N(Tasks[[#This Row],[Duration]])))</f>
        <v/>
      </c>
      <c r="BD200" s="96" t="str">
        <f aca="false">IF(Tasks[[#This Row],[Task Name]]="","",Tasks[[#This Row],[Work]])</f>
        <v/>
      </c>
      <c r="BE200" s="97" t="str">
        <f aca="false">IF(Tasks[[#This Row],[Task Name]]="","",Tasks[[#This Row],[Cost]])</f>
        <v/>
      </c>
      <c r="BF200" s="75"/>
      <c r="BG200" s="75"/>
      <c r="BH200" s="29"/>
      <c r="BI200" s="99"/>
      <c r="BJ200" s="98"/>
      <c r="BK200" s="28" t="str">
        <f aca="false">IF(OR(Tasks[[#This Row],[Task Name]]="",Tasks[[#This Row],[Baseline Duration]]=""),"",Tasks[[#This Row],[BL Source Duration]]-N(Tasks[[#This Row],[Baseline Duration]]))</f>
        <v/>
      </c>
      <c r="BL200" s="96" t="str">
        <f aca="false">IF(OR(Tasks[[#This Row],[Task Name]]="",Tasks[[#This Row],[Baseline Work]]=""),"",Tasks[[#This Row],[Work]]-N(Tasks[[#This Row],[Baseline Work]]))</f>
        <v/>
      </c>
      <c r="BM200" s="97" t="str">
        <f aca="false">IF(OR(Tasks[[#This Row],[Task Name]]="",Tasks[[#This Row],[Baseline Cost]]=""),"",Tasks[[#This Row],[Cost]]-N(Tasks[[#This Row],[Baseline Cost]]))</f>
        <v/>
      </c>
      <c r="BN200" s="97" t="str">
        <f aca="false">IF(Tasks[[#This Row],[Task Name]]="","",IF(Tasks[[#This Row],[_IsSummary]],SUM(INDEX(Tasks[_LeafBudget],Tasks[[#This Row],[_Row]]+1):INDEX(Tasks[_LeafBudget],Tasks[[#This Row],[_Row]]+Tasks[[#This Row],[_Descendants]])),Tasks[[#This Row],[_LeafBudget]]))</f>
        <v/>
      </c>
      <c r="BO200" s="97" t="str">
        <f aca="false">IF(Tasks[[#This Row],[Task Name]]="","",IF(Tasks[[#This Row],[_IsSummary]],SUM(INDEX(Tasks[_LeafPV],Tasks[[#This Row],[_Row]]+1):INDEX(Tasks[_LeafPV],Tasks[[#This Row],[_Row]]+Tasks[[#This Row],[_Descendants]])),Tasks[[#This Row],[_LeafPV]]))</f>
        <v/>
      </c>
      <c r="BP200" s="97" t="str">
        <f aca="false">IF(Tasks[[#This Row],[Task Name]]="","",IF(Tasks[[#This Row],[_IsSummary]],SUM(INDEX(Tasks[_LeafEV],Tasks[[#This Row],[_Row]]+1):INDEX(Tasks[_LeafEV],Tasks[[#This Row],[_Row]]+Tasks[[#This Row],[_Descendants]])),Tasks[[#This Row],[_LeafEV]]))</f>
        <v/>
      </c>
      <c r="BQ200" s="97" t="str">
        <f aca="false">IF(Tasks[[#This Row],[Task Name]]="","",IF(Tasks[[#This Row],[_IsSummary]],SUM(INDEX(Tasks[_LeafAC],Tasks[[#This Row],[_Row]]+1):INDEX(Tasks[_LeafAC],Tasks[[#This Row],[_Row]]+Tasks[[#This Row],[_Descendants]])),Tasks[[#This Row],[_LeafAC]]))</f>
        <v/>
      </c>
      <c r="BR200" s="41" t="str">
        <f aca="false">IF(Tasks[[#This Row],[Task Name]]="","",MAX(1,N(Tasks[[#This Row],[Level]])))</f>
        <v/>
      </c>
      <c r="BS200" s="41" t="n">
        <f aca="false">ROW()-ROW(Tasks[[#Headers],[ID]])</f>
        <v>195</v>
      </c>
      <c r="BT200" s="41" t="n">
        <f aca="false">IF(OR(Tasks[[#This Row],[Task Name]]="",Tasks[[#This Row],[_Level]]&lt;=1),0,IFERROR(LOOKUP(2,1/(Tasks[[#Headers],[_Level]]:Tasks[[#This Row],[_Level]]=Tasks[[#This Row],[_Level]]-1),ROW(Tasks[[#Headers],[_Level]]:Tasks[[#This Row],[_Level]])),0))</f>
        <v>0</v>
      </c>
      <c r="BU200" s="41" t="n">
        <f aca="false">IFERROR(N(INDEX(Tasks[_Level],Tasks[[#This Row],[_Row]]+1)),0)</f>
        <v>0</v>
      </c>
      <c r="BV200" s="100" t="b">
        <f aca="false">AND(Tasks[[#This Row],[Task Name]]&lt;&gt;"",Tasks[[#This Row],[_NextLevel]]&gt;Tasks[[#This Row],[_Level]])</f>
        <v>0</v>
      </c>
      <c r="BW200" s="41" t="n">
        <f aca="false">IF(Tasks[[#This Row],[_IsSummary]],COUNTIF(Tasks[WBS],Tasks[[#This Row],[WBS]]&amp;".*"),0)</f>
        <v>0</v>
      </c>
      <c r="BX200" s="41" t="n">
        <f aca="false">IF(AND(Tasks[[#This Row],[Task Name]]&lt;&gt;"",NOT(Tasks[[#This Row],[_IsSummary]])),1,0)</f>
        <v>0</v>
      </c>
      <c r="BY200" s="41" t="n">
        <f aca="false">IF(N(Tasks[[#This Row],[Pred1 UID]])=0,0,IFERROR(MATCH(Tasks[[#This Row],[Pred1 UID]],Tasks[UID],0),-1))</f>
        <v>0</v>
      </c>
      <c r="BZ200" s="41" t="n">
        <f aca="false">IF(N(Tasks[[#This Row],[Pred2 UID]])=0,0,IFERROR(MATCH(Tasks[[#This Row],[Pred2 UID]],Tasks[UID],0),-1))</f>
        <v>0</v>
      </c>
      <c r="CA200" s="41" t="n">
        <f aca="false">IF(N(Tasks[[#This Row],[Pred3 UID]])=0,0,IFERROR(MATCH(Tasks[[#This Row],[Pred3 UID]],Tasks[UID],0),-1))</f>
        <v>0</v>
      </c>
      <c r="CB200" s="41" t="n">
        <f aca="false">IF(N(Tasks[[#This Row],[Pred4 UID]])=0,0,IFERROR(MATCH(Tasks[[#This Row],[Pred4 UID]],Tasks[UID],0),-1))</f>
        <v>0</v>
      </c>
      <c r="CC2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0" s="101" t="n">
        <f aca="false">IF(OR(Tasks[[#This Row],[_ConstraintCode]]=2,Tasks[[#This Row],[_ConstraintCode]]=3,Tasks[[#This Row],[_ConstraintCode]]=4,Tasks[[#This Row],[_ConstraintCode]]=6),Tasks[[#This Row],[_ConstraintStart]],0)</f>
        <v>0</v>
      </c>
      <c r="CF200" s="101" t="n">
        <f aca="false">IF(OR(Tasks[[#This Row],[_ConstraintCode]]=2,Tasks[[#This Row],[_ConstraintCode]]=3,Tasks[[#This Row],[_ConstraintCode]]=5,Tasks[[#This Row],[_ConstraintCode]]=7),Tasks[[#This Row],[_ConstraintStart]],2958465)</f>
        <v>2958465</v>
      </c>
      <c r="CG20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0" s="101" t="str">
        <f aca="false">IF(NOT(Tasks[[#This Row],[_IsLeaf]]=1),"",IF(N(Tasks[[#This Row],[Duration]])&lt;=0,Tasks[[#This Row],[_LeafCalcStart]],WORKDAY.INTL(Tasks[[#This Row],[_LeafCalcStart]],Tasks[[#This Row],[Duration]]-1,WorkWeek,Holidays)))</f>
        <v/>
      </c>
      <c r="CI20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0" s="41" t="n">
        <f aca="false">IF(NOT(Tasks[[#This Row],[_IsLeaf]]=1),0,IF(N(Tasks[[#This Row],[Actual Finish]])&gt;0,1,MIN(1,N(Tasks[[#This Row],[% Complete]]))))</f>
        <v>0</v>
      </c>
      <c r="CL200" s="41" t="n">
        <f aca="false">IF(OR(NOT(Tasks[[#This Row],[_IsLeaf]]=1),Tasks[[#This Row],[Resource]]=""),0,N(Tasks[[#This Row],[Duration]])*HoursPerDay*IF(Tasks[[#This Row],[Units]]="",DefaultUnits,Tasks[[#This Row],[Units]]))</f>
        <v>0</v>
      </c>
      <c r="CM200" s="41" t="n">
        <f aca="false">IF(Tasks[[#This Row],[_LeafWork]]=0,0,Tasks[[#This Row],[_LeafWork]]*IFERROR(INDEX(res_Rate,MATCH(Tasks[[#This Row],[Resource]],res_Name,0)),0))</f>
        <v>0</v>
      </c>
      <c r="CN200" s="41" t="n">
        <f aca="false">Tasks[[#This Row],[_LeafWork]]+IF(Tasks[[#This Row],[_IsLeaf]]=1,SUMIFS(asg_Work,asg_TaskUID,Tasks[[#This Row],[UID]],asg_Valid,1),0)</f>
        <v>0</v>
      </c>
      <c r="CO200" s="41" t="n">
        <f aca="false">Tasks[[#This Row],[_LeafCost]]+IF(Tasks[[#This Row],[_IsLeaf]]=1,SUMIFS(asg_Cost,asg_TaskUID,Tasks[[#This Row],[UID]],asg_Valid,1),0)</f>
        <v>0</v>
      </c>
      <c r="CP200" s="41" t="n">
        <f aca="false">IF(Tasks[[#This Row],[_LeafTotalCost]]=0,Tasks[[#This Row],[_LeafAC]],Tasks[[#This Row],[_LeafAC]]*Tasks[[#This Row],[_LeafCost]]/Tasks[[#This Row],[_LeafTotalCost]])</f>
        <v>0</v>
      </c>
      <c r="CQ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0" s="41" t="n">
        <f aca="false">IF(NOT(Tasks[[#This Row],[_IsLeaf]]=1),0,MAX(_xlfn.MAXIFS(Tasks[_Row],Tasks[Pred1 UID],Tasks[[#This Row],[UID]]),_xlfn.MAXIFS(Tasks[_Row],Tasks[Pred2 UID],Tasks[[#This Row],[UID]]),_xlfn.MAXIFS(Tasks[_Row],Tasks[Pred3 UID],Tasks[[#This Row],[UID]]),_xlfn.MAXIFS(Tasks[_Row],Tasks[Pred4 UID],Tasks[[#This Row],[UID]])))</f>
        <v>0</v>
      </c>
      <c r="CZ2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0" s="101" t="str">
        <f aca="false">IF(NOT(Tasks[[#This Row],[_IsLeaf]]=1),"",IF(N(Tasks[[#This Row],[Duration]])&lt;=0,Tasks[[#This Row],[_LeafLateFinish]],WORKDAY.INTL(Tasks[[#This Row],[_LeafLateFinish]],-(Tasks[[#This Row],[Duration]]-1),WorkWeek,Holidays)))</f>
        <v/>
      </c>
      <c r="DC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0" s="100" t="b">
        <f aca="false">AND(Tasks[[#This Row],[_IsLeaf]]=1,Tasks[[#This Row],[_LeafProgress]]&lt;1,N(Tasks[[#This Row],[_LeafTotalSlack]])&lt;=CriticalSlackDays)</f>
        <v>0</v>
      </c>
      <c r="DE200" s="41" t="n">
        <f aca="false">IF(AND(Tasks[[#This Row],[_IsLeaf]]=1,Tasks[[#This Row],[_ConstraintCode]]=1,Tasks[[#This Row],[Mode]]&lt;&gt;"Manual",N(Tasks[[#This Row],[Actual Start]])=0),MAX(0,N(Tasks[[#This Row],[Free Slack]])),0)</f>
        <v>0</v>
      </c>
      <c r="DF200" s="101" t="str">
        <f aca="false">IF(NOT(Tasks[[#This Row],[_IsLeaf]]=1),"",IF(Tasks[[#This Row],[_AlapShift]]=0,Tasks[[#This Row],[_LeafCalcStart]],WORKDAY.INTL(Tasks[[#This Row],[_LeafCalcStart]],Tasks[[#This Row],[_AlapShift]],WorkWeek,Holidays)))</f>
        <v/>
      </c>
      <c r="DG200" s="101" t="str">
        <f aca="false">IF(NOT(Tasks[[#This Row],[_IsLeaf]]=1),"",IF(Tasks[[#This Row],[_AlapShift]]=0,Tasks[[#This Row],[_LeafCalcFinish]],WORKDAY.INTL(Tasks[[#This Row],[_LeafCalcFinish]],Tasks[[#This Row],[_AlapShift]],WorkWeek,Holidays)))</f>
        <v/>
      </c>
      <c r="DH200" s="101" t="str">
        <f aca="false">IF(NOT(Tasks[[#This Row],[_IsLeaf]]=1),"",IF(Tasks[[#This Row],[_AlapShift]]=0,Tasks[[#This Row],[_LeafFcstStart]],WORKDAY.INTL(Tasks[[#This Row],[_LeafFcstStart]],Tasks[[#This Row],[_AlapShift]],WorkWeek,Holidays)))</f>
        <v/>
      </c>
      <c r="DI200" s="101" t="str">
        <f aca="false">IF(NOT(Tasks[[#This Row],[_IsLeaf]]=1),"",IF(Tasks[[#This Row],[_AlapShift]]=0,Tasks[[#This Row],[_LeafFcstFinish]],WORKDAY.INTL(Tasks[[#This Row],[_LeafFcstFinish]],Tasks[[#This Row],[_AlapShift]],WorkWeek,Holidays)))</f>
        <v/>
      </c>
      <c r="DJ200" s="101" t="str">
        <f aca="false">IF(Tasks[[#This Row],[Task Name]]="","",IF(Tasks[[#This Row],[_IsSummary]],MIN(INDEX(Tasks[_ShownCalcStart],Tasks[[#This Row],[_Row]]+1):INDEX(Tasks[_ShownCalcStart],Tasks[[#This Row],[_Row]]+Tasks[[#This Row],[_Descendants]])),Tasks[[#This Row],[_ShownCalcStart]]))</f>
        <v/>
      </c>
      <c r="DK200" s="101" t="str">
        <f aca="false">IF(Tasks[[#This Row],[Task Name]]="","",IF(Tasks[[#This Row],[_IsSummary]],MAX(INDEX(Tasks[_ShownCalcFinish],Tasks[[#This Row],[_Row]]+1):INDEX(Tasks[_ShownCalcFinish],Tasks[[#This Row],[_Row]]+Tasks[[#This Row],[_Descendants]])),Tasks[[#This Row],[_ShownCalcFinish]]))</f>
        <v/>
      </c>
      <c r="D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0" s="41" t="n">
        <f aca="false">IF(AND(Tasks[[#This Row],[_IsLeaf]]=1,Tasks[[#This Row],[_LeafTotalWork]]&gt;0),NETWORKDAYS.INTL(ProjectStart,Tasks[[#This Row],[_ShownFcstStart]],WorkWeek,Holidays),0)</f>
        <v>0</v>
      </c>
      <c r="DY200" s="41" t="n">
        <f aca="false">IF(AND(Tasks[[#This Row],[_IsLeaf]]=1,Tasks[[#This Row],[_LeafTotalWork]]&gt;0),MAX(Tasks[[#This Row],[_StartWorkday]],NETWORKDAYS.INTL(ProjectStart,Tasks[[#This Row],[_ShownFcstFinish]],WorkWeek,Holidays)),0)</f>
        <v>0</v>
      </c>
      <c r="DZ200" s="41" t="n">
        <f aca="false">IF(AND(Tasks[[#This Row],[_IsLeaf]]=1,Tasks[[#This Row],[_LeafTotalWork]]&gt;0),Tasks[[#This Row],[_LeafWork]]/(Tasks[[#This Row],[_FinishWorkday]]-Tasks[[#This Row],[_StartWorkday]]+1),0)</f>
        <v>0</v>
      </c>
      <c r="EA200" s="41" t="n">
        <f aca="false">Tasks[[#This Row],[_WorkPerWorkday]]*(Tasks[[#This Row],[_StartWorkday]]-1)</f>
        <v>-0</v>
      </c>
      <c r="EB200" s="41" t="n">
        <f aca="false">IF(Tasks[[#This Row],[_IsLeaf]]=1,MAX(N(Tasks[[#This Row],[Duration]]),0.1),0)</f>
        <v>0</v>
      </c>
      <c r="EC200" s="41" t="n">
        <f aca="false">Tasks[[#This Row],[_WeightDur]]*Tasks[[#This Row],[_LeafProgress]]</f>
        <v>0</v>
      </c>
      <c r="ED2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0" s="41" t="str">
        <f aca="false">IF(AND(Tasks[[#This Row],[_IsLeaf]]=1,N(Tasks[[#This Row],[Duration]])=0,Tasks[[#This Row],[_LeafProgress]]&lt;1),Tasks[[#This Row],[_ShownFcstFinish]]+Tasks[[#This Row],[_Row]]/100000,"")</f>
        <v/>
      </c>
      <c r="EF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0" s="41" t="n">
        <f aca="false">IF(NOT(Tasks[[#This Row],[_IsLeaf]]=1),0,IF(Tasks[[#This Row],[Baseline Cost]]="",Tasks[[#This Row],[_LeafTotalCost]],N(Tasks[[#This Row],[Baseline Cost]])))</f>
        <v>0</v>
      </c>
      <c r="EH200" s="41" t="n">
        <f aca="false">Tasks[[#This Row],[_LeafBudget]]*Tasks[[#This Row],[_PlannedPct]]</f>
        <v>0</v>
      </c>
      <c r="EI200" s="41" t="n">
        <f aca="false">Tasks[[#This Row],[_LeafBudget]]*Tasks[[#This Row],[_LeafProgress]]</f>
        <v>0</v>
      </c>
      <c r="EJ200" s="41" t="n">
        <f aca="false">IF(NOT(Tasks[[#This Row],[_IsLeaf]]=1),0,IF(Tasks[[#This Row],[Actual Cost]]="",Tasks[[#This Row],[_LeafTotalCost]]*Tasks[[#This Row],[_LeafProgress]],N(Tasks[[#This Row],[Actual Cost]])))</f>
        <v>0</v>
      </c>
      <c r="EK200" s="41" t="str">
        <f aca="false">IF(Tasks[[#This Row],[Task Name]]="","",LEFT(Tasks[[#This Row],[WBS]],FIND(".",Tasks[[#This Row],[WBS]]&amp;".")-1))</f>
        <v/>
      </c>
      <c r="EL200" s="41" t="str">
        <f aca="false">IF(AND(Tasks[[#This Row],[Task Name]]&lt;&gt;"",Tasks[[#This Row],[_Level]]=1),Tasks[[#This Row],[_Row]],"")</f>
        <v/>
      </c>
      <c r="EM200" s="41" t="str">
        <f aca="false">IF(AND(Tasks[[#This Row],[_IsLeaf]]=1,N(Tasks[[#This Row],[Duration]])=0),Tasks[[#This Row],[Planned Finish]]+Tasks[[#This Row],[_Row]]/100000,"")</f>
        <v/>
      </c>
      <c r="EN200" s="41" t="str">
        <f aca="false">IF(AND(Tasks[[#This Row],[_IsLeaf]]=1,Tasks[[#This Row],[_LeafProgress]]&lt;1,OR(N(Tasks[[#This Row],[Finish Var]])&gt;0,Tasks[[#This Row],[Status]]="Late Start")),MAX(0,Tasks[[#This Row],[Finish Var]])+1-Tasks[[#This Row],[_Row]]/1000000,"")</f>
        <v/>
      </c>
      <c r="EO200" s="41" t="str">
        <f aca="false">IF(AND(Tasks[[#This Row],[_IsLeaf]]=1,N(Tasks[[#This Row],[Actual Start]])=0,Tasks[[#This Row],[_ShownFcstStart]]&gt;=StatusDate,Tasks[[#This Row],[_ShownFcstStart]]&lt;=LookaheadEnd),Tasks[[#This Row],[_ShownFcstStart]]+Tasks[[#This Row],[_Row]]/100000,"")</f>
        <v/>
      </c>
      <c r="EP200" s="41" t="str">
        <f aca="false">IF(AND(Tasks[[#This Row],[_IsLeaf]]=1,Tasks[[#This Row],[_LeafProgress]]&lt;1,Tasks[[#This Row],[_ShownFcstFinish]]&gt;=StatusDate,Tasks[[#This Row],[_ShownFcstFinish]]&lt;=LookaheadEnd),Tasks[[#This Row],[_ShownFcstFinish]]+Tasks[[#This Row],[_Row]]/100000,"")</f>
        <v/>
      </c>
      <c r="EQ200" s="41" t="str">
        <f aca="false">IF(Tasks[[#This Row],[_LeafCritical]],Tasks[[#This Row],[_ShownFcstStart]]+Tasks[[#This Row],[_Row]]/100000,"")</f>
        <v/>
      </c>
      <c r="ER200" s="41" t="n">
        <f aca="false">Tasks[[#This Row],[_LeafWork]]*Tasks[[#This Row],[_LeafProgress]]</f>
        <v>0</v>
      </c>
      <c r="ES200" s="101" t="str">
        <f aca="false">IF(AND(Tasks[[#This Row],[_IsLeaf]]=1,Tasks[[#This Row],[_LeafProgress]]&gt;=1),IF(N(Tasks[[#This Row],[Actual Finish]])&gt;0,Tasks[[#This Row],[Actual Finish]],Tasks[[#This Row],[_ShownFcstFinish]]),"")</f>
        <v/>
      </c>
      <c r="ET200" s="41" t="n">
        <f aca="false">IF(Tasks[[#This Row],[_IsLeaf]]=1,N(Tasks[[#This Row],[Story Points]]),0)</f>
        <v>0</v>
      </c>
      <c r="EU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29"/>
      <c r="O201" s="29"/>
      <c r="P201" s="29"/>
      <c r="Q201" s="29"/>
      <c r="R201" s="29"/>
      <c r="S201" s="29"/>
      <c r="T201" s="30"/>
      <c r="U201" s="75"/>
      <c r="V201" s="75"/>
      <c r="W201" s="25" t="str">
        <f aca="false">IF(Tasks[[#This Row],[Task Name]]="","",IF(N(Tasks[[#This Row],[Baseline Start]])&gt;0,Tasks[[#This Row],[Baseline Start]],Tasks[[#This Row],[_CalcStart]]))</f>
        <v/>
      </c>
      <c r="X201" s="25" t="str">
        <f aca="false">IF(Tasks[[#This Row],[Task Name]]="","",IF(N(Tasks[[#This Row],[Baseline Finish]])&gt;0,Tasks[[#This Row],[Baseline Finish]],Tasks[[#This Row],[_CalcFinish]]))</f>
        <v/>
      </c>
      <c r="Y201" s="75"/>
      <c r="Z201" s="75"/>
      <c r="AA201" s="25" t="str">
        <f aca="false">IF(Tasks[[#This Row],[Task Name]]="","",IF(Tasks[[#This Row],[_IsSummary]],MIN(INDEX(Tasks[_ShownFcstStart],Tasks[[#This Row],[_Row]]+1):INDEX(Tasks[_ShownFcstStart],Tasks[[#This Row],[_Row]]+Tasks[[#This Row],[_Descendants]])),Tasks[[#This Row],[_ShownFcstStart]]))</f>
        <v/>
      </c>
      <c r="AB201" s="25" t="str">
        <f aca="false">IF(Tasks[[#This Row],[Task Name]]="","",IF(Tasks[[#This Row],[_IsSummary]],MAX(INDEX(Tasks[_ShownFcstFinish],Tasks[[#This Row],[_Row]]+1):INDEX(Tasks[_ShownFcstFinish],Tasks[[#This Row],[_Row]]+Tasks[[#This Row],[_Descendants]])),Tasks[[#This Row],[_ShownFcstFinish]]))</f>
        <v/>
      </c>
      <c r="AC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1" s="25" t="str">
        <f aca="false">IF(Tasks[[#This Row],[Task Name]]="","",IF(Tasks[[#This Row],[_IsSummary]],MIN(INDEX(Tasks[_LeafLateStart],Tasks[[#This Row],[_Row]]+1):INDEX(Tasks[_LeafLateStart],Tasks[[#This Row],[_Row]]+Tasks[[#This Row],[_Descendants]])),Tasks[[#This Row],[_LeafLateStart]]))</f>
        <v/>
      </c>
      <c r="AF201" s="25" t="str">
        <f aca="false">IF(Tasks[[#This Row],[Task Name]]="","",IF(Tasks[[#This Row],[_IsSummary]],MAX(INDEX(Tasks[_LeafLateFinish],Tasks[[#This Row],[_Row]]+1):INDEX(Tasks[_LeafLateFinish],Tasks[[#This Row],[_Row]]+Tasks[[#This Row],[_Descendants]])),Tasks[[#This Row],[_LeafLateFinish]]))</f>
        <v/>
      </c>
      <c r="AG201" s="28" t="str">
        <f aca="false">IF(Tasks[[#This Row],[Task Name]]="","",IF(Tasks[[#This Row],[_IsSummary]],MIN(INDEX(Tasks[_LeafTotalSlack],Tasks[[#This Row],[_Row]]+1):INDEX(Tasks[_LeafTotalSlack],Tasks[[#This Row],[_Row]]+Tasks[[#This Row],[_Descendants]])),Tasks[[#This Row],[_LeafTotalSlack]]))</f>
        <v/>
      </c>
      <c r="AH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1" s="28" t="str">
        <f aca="false">IF(Tasks[[#This Row],[Task Name]]="","",IF(IF(Tasks[[#This Row],[_IsSummary]],COUNTIF(INDEX(Tasks[_LeafCritical],Tasks[[#This Row],[_Row]]+1):INDEX(Tasks[_LeafCritical],Tasks[[#This Row],[_Row]]+Tasks[[#This Row],[_Descendants]]),TRUE())&gt;0,Tasks[[#This Row],[_LeafCritical]]),"Yes",""))</f>
        <v/>
      </c>
      <c r="AJ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1" s="89"/>
      <c r="AM2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1" s="28" t="str">
        <f aca="false">IF(Tasks[[#This Row],[Task Name]]="","",IF(Tasks[[#This Row],[Progress]]&gt;=1,"Complete",IF(OR(N(Tasks[[#This Row],[Actual Start]])&gt;0,Tasks[[#This Row],[Progress]]&gt;0),IF(Tasks[[#This Row],[Finish Var]]&gt;0,"Behind","In Progress"),IF(Tasks[[#This Row],[Planned Start]]&lt;StatusDate,"Late Start","Not Started"))))</f>
        <v/>
      </c>
      <c r="AO201" s="30"/>
      <c r="AP201" s="89"/>
      <c r="AQ2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1" s="96" t="str">
        <f aca="false">IF(Tasks[[#This Row],[Task Name]]="","",IF(Tasks[[#This Row],[_IsSummary]],SUM(INDEX(Tasks[_LeafTotalWork],Tasks[[#This Row],[_Row]]+1):INDEX(Tasks[_LeafTotalWork],Tasks[[#This Row],[_Row]]+Tasks[[#This Row],[_Descendants]])),Tasks[[#This Row],[_LeafTotalWork]]))</f>
        <v/>
      </c>
      <c r="AT201" s="97" t="str">
        <f aca="false">IF(Tasks[[#This Row],[Task Name]]="","",IF(Tasks[[#This Row],[_IsSummary]],SUM(INDEX(Tasks[_LeafTotalCost],Tasks[[#This Row],[_Row]]+1):INDEX(Tasks[_LeafTotalCost],Tasks[[#This Row],[_Row]]+Tasks[[#This Row],[_Descendants]])),Tasks[[#This Row],[_LeafTotalCost]]))</f>
        <v/>
      </c>
      <c r="AU201" s="98"/>
      <c r="AV201" s="29"/>
      <c r="AW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1" s="83"/>
      <c r="AY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1" s="30"/>
      <c r="BA201" s="25" t="str">
        <f aca="false">IF(Tasks[[#This Row],[Task Name]]="","",Tasks[[#This Row],[Forecast Start]])</f>
        <v/>
      </c>
      <c r="BB201" s="25" t="str">
        <f aca="false">IF(Tasks[[#This Row],[Task Name]]="","",Tasks[[#This Row],[Forecast Finish]])</f>
        <v/>
      </c>
      <c r="BC201" s="28" t="str">
        <f aca="false">IF(Tasks[[#This Row],[Task Name]]="","",IF(Tasks[[#This Row],[_IsSummary]],NETWORKDAYS.INTL(Tasks[[#This Row],[Forecast Start]],Tasks[[#This Row],[Forecast Finish]],WorkWeek,Holidays),N(Tasks[[#This Row],[Duration]])))</f>
        <v/>
      </c>
      <c r="BD201" s="96" t="str">
        <f aca="false">IF(Tasks[[#This Row],[Task Name]]="","",Tasks[[#This Row],[Work]])</f>
        <v/>
      </c>
      <c r="BE201" s="97" t="str">
        <f aca="false">IF(Tasks[[#This Row],[Task Name]]="","",Tasks[[#This Row],[Cost]])</f>
        <v/>
      </c>
      <c r="BF201" s="75"/>
      <c r="BG201" s="75"/>
      <c r="BH201" s="29"/>
      <c r="BI201" s="99"/>
      <c r="BJ201" s="98"/>
      <c r="BK201" s="28" t="str">
        <f aca="false">IF(OR(Tasks[[#This Row],[Task Name]]="",Tasks[[#This Row],[Baseline Duration]]=""),"",Tasks[[#This Row],[BL Source Duration]]-N(Tasks[[#This Row],[Baseline Duration]]))</f>
        <v/>
      </c>
      <c r="BL201" s="96" t="str">
        <f aca="false">IF(OR(Tasks[[#This Row],[Task Name]]="",Tasks[[#This Row],[Baseline Work]]=""),"",Tasks[[#This Row],[Work]]-N(Tasks[[#This Row],[Baseline Work]]))</f>
        <v/>
      </c>
      <c r="BM201" s="97" t="str">
        <f aca="false">IF(OR(Tasks[[#This Row],[Task Name]]="",Tasks[[#This Row],[Baseline Cost]]=""),"",Tasks[[#This Row],[Cost]]-N(Tasks[[#This Row],[Baseline Cost]]))</f>
        <v/>
      </c>
      <c r="BN201" s="97" t="str">
        <f aca="false">IF(Tasks[[#This Row],[Task Name]]="","",IF(Tasks[[#This Row],[_IsSummary]],SUM(INDEX(Tasks[_LeafBudget],Tasks[[#This Row],[_Row]]+1):INDEX(Tasks[_LeafBudget],Tasks[[#This Row],[_Row]]+Tasks[[#This Row],[_Descendants]])),Tasks[[#This Row],[_LeafBudget]]))</f>
        <v/>
      </c>
      <c r="BO201" s="97" t="str">
        <f aca="false">IF(Tasks[[#This Row],[Task Name]]="","",IF(Tasks[[#This Row],[_IsSummary]],SUM(INDEX(Tasks[_LeafPV],Tasks[[#This Row],[_Row]]+1):INDEX(Tasks[_LeafPV],Tasks[[#This Row],[_Row]]+Tasks[[#This Row],[_Descendants]])),Tasks[[#This Row],[_LeafPV]]))</f>
        <v/>
      </c>
      <c r="BP201" s="97" t="str">
        <f aca="false">IF(Tasks[[#This Row],[Task Name]]="","",IF(Tasks[[#This Row],[_IsSummary]],SUM(INDEX(Tasks[_LeafEV],Tasks[[#This Row],[_Row]]+1):INDEX(Tasks[_LeafEV],Tasks[[#This Row],[_Row]]+Tasks[[#This Row],[_Descendants]])),Tasks[[#This Row],[_LeafEV]]))</f>
        <v/>
      </c>
      <c r="BQ201" s="97" t="str">
        <f aca="false">IF(Tasks[[#This Row],[Task Name]]="","",IF(Tasks[[#This Row],[_IsSummary]],SUM(INDEX(Tasks[_LeafAC],Tasks[[#This Row],[_Row]]+1):INDEX(Tasks[_LeafAC],Tasks[[#This Row],[_Row]]+Tasks[[#This Row],[_Descendants]])),Tasks[[#This Row],[_LeafAC]]))</f>
        <v/>
      </c>
      <c r="BR201" s="41" t="str">
        <f aca="false">IF(Tasks[[#This Row],[Task Name]]="","",MAX(1,N(Tasks[[#This Row],[Level]])))</f>
        <v/>
      </c>
      <c r="BS201" s="41" t="n">
        <f aca="false">ROW()-ROW(Tasks[[#Headers],[ID]])</f>
        <v>196</v>
      </c>
      <c r="BT201" s="41" t="n">
        <f aca="false">IF(OR(Tasks[[#This Row],[Task Name]]="",Tasks[[#This Row],[_Level]]&lt;=1),0,IFERROR(LOOKUP(2,1/(Tasks[[#Headers],[_Level]]:Tasks[[#This Row],[_Level]]=Tasks[[#This Row],[_Level]]-1),ROW(Tasks[[#Headers],[_Level]]:Tasks[[#This Row],[_Level]])),0))</f>
        <v>0</v>
      </c>
      <c r="BU201" s="41" t="n">
        <f aca="false">IFERROR(N(INDEX(Tasks[_Level],Tasks[[#This Row],[_Row]]+1)),0)</f>
        <v>0</v>
      </c>
      <c r="BV201" s="100" t="b">
        <f aca="false">AND(Tasks[[#This Row],[Task Name]]&lt;&gt;"",Tasks[[#This Row],[_NextLevel]]&gt;Tasks[[#This Row],[_Level]])</f>
        <v>0</v>
      </c>
      <c r="BW201" s="41" t="n">
        <f aca="false">IF(Tasks[[#This Row],[_IsSummary]],COUNTIF(Tasks[WBS],Tasks[[#This Row],[WBS]]&amp;".*"),0)</f>
        <v>0</v>
      </c>
      <c r="BX201" s="41" t="n">
        <f aca="false">IF(AND(Tasks[[#This Row],[Task Name]]&lt;&gt;"",NOT(Tasks[[#This Row],[_IsSummary]])),1,0)</f>
        <v>0</v>
      </c>
      <c r="BY201" s="41" t="n">
        <f aca="false">IF(N(Tasks[[#This Row],[Pred1 UID]])=0,0,IFERROR(MATCH(Tasks[[#This Row],[Pred1 UID]],Tasks[UID],0),-1))</f>
        <v>0</v>
      </c>
      <c r="BZ201" s="41" t="n">
        <f aca="false">IF(N(Tasks[[#This Row],[Pred2 UID]])=0,0,IFERROR(MATCH(Tasks[[#This Row],[Pred2 UID]],Tasks[UID],0),-1))</f>
        <v>0</v>
      </c>
      <c r="CA201" s="41" t="n">
        <f aca="false">IF(N(Tasks[[#This Row],[Pred3 UID]])=0,0,IFERROR(MATCH(Tasks[[#This Row],[Pred3 UID]],Tasks[UID],0),-1))</f>
        <v>0</v>
      </c>
      <c r="CB201" s="41" t="n">
        <f aca="false">IF(N(Tasks[[#This Row],[Pred4 UID]])=0,0,IFERROR(MATCH(Tasks[[#This Row],[Pred4 UID]],Tasks[UID],0),-1))</f>
        <v>0</v>
      </c>
      <c r="CC2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1" s="101" t="n">
        <f aca="false">IF(OR(Tasks[[#This Row],[_ConstraintCode]]=2,Tasks[[#This Row],[_ConstraintCode]]=3,Tasks[[#This Row],[_ConstraintCode]]=4,Tasks[[#This Row],[_ConstraintCode]]=6),Tasks[[#This Row],[_ConstraintStart]],0)</f>
        <v>0</v>
      </c>
      <c r="CF201" s="101" t="n">
        <f aca="false">IF(OR(Tasks[[#This Row],[_ConstraintCode]]=2,Tasks[[#This Row],[_ConstraintCode]]=3,Tasks[[#This Row],[_ConstraintCode]]=5,Tasks[[#This Row],[_ConstraintCode]]=7),Tasks[[#This Row],[_ConstraintStart]],2958465)</f>
        <v>2958465</v>
      </c>
      <c r="CG20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1" s="101" t="str">
        <f aca="false">IF(NOT(Tasks[[#This Row],[_IsLeaf]]=1),"",IF(N(Tasks[[#This Row],[Duration]])&lt;=0,Tasks[[#This Row],[_LeafCalcStart]],WORKDAY.INTL(Tasks[[#This Row],[_LeafCalcStart]],Tasks[[#This Row],[Duration]]-1,WorkWeek,Holidays)))</f>
        <v/>
      </c>
      <c r="CI20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1" s="41" t="n">
        <f aca="false">IF(NOT(Tasks[[#This Row],[_IsLeaf]]=1),0,IF(N(Tasks[[#This Row],[Actual Finish]])&gt;0,1,MIN(1,N(Tasks[[#This Row],[% Complete]]))))</f>
        <v>0</v>
      </c>
      <c r="CL201" s="41" t="n">
        <f aca="false">IF(OR(NOT(Tasks[[#This Row],[_IsLeaf]]=1),Tasks[[#This Row],[Resource]]=""),0,N(Tasks[[#This Row],[Duration]])*HoursPerDay*IF(Tasks[[#This Row],[Units]]="",DefaultUnits,Tasks[[#This Row],[Units]]))</f>
        <v>0</v>
      </c>
      <c r="CM201" s="41" t="n">
        <f aca="false">IF(Tasks[[#This Row],[_LeafWork]]=0,0,Tasks[[#This Row],[_LeafWork]]*IFERROR(INDEX(res_Rate,MATCH(Tasks[[#This Row],[Resource]],res_Name,0)),0))</f>
        <v>0</v>
      </c>
      <c r="CN201" s="41" t="n">
        <f aca="false">Tasks[[#This Row],[_LeafWork]]+IF(Tasks[[#This Row],[_IsLeaf]]=1,SUMIFS(asg_Work,asg_TaskUID,Tasks[[#This Row],[UID]],asg_Valid,1),0)</f>
        <v>0</v>
      </c>
      <c r="CO201" s="41" t="n">
        <f aca="false">Tasks[[#This Row],[_LeafCost]]+IF(Tasks[[#This Row],[_IsLeaf]]=1,SUMIFS(asg_Cost,asg_TaskUID,Tasks[[#This Row],[UID]],asg_Valid,1),0)</f>
        <v>0</v>
      </c>
      <c r="CP201" s="41" t="n">
        <f aca="false">IF(Tasks[[#This Row],[_LeafTotalCost]]=0,Tasks[[#This Row],[_LeafAC]],Tasks[[#This Row],[_LeafAC]]*Tasks[[#This Row],[_LeafCost]]/Tasks[[#This Row],[_LeafTotalCost]])</f>
        <v>0</v>
      </c>
      <c r="CQ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1" s="41" t="n">
        <f aca="false">IF(NOT(Tasks[[#This Row],[_IsLeaf]]=1),0,MAX(_xlfn.MAXIFS(Tasks[_Row],Tasks[Pred1 UID],Tasks[[#This Row],[UID]]),_xlfn.MAXIFS(Tasks[_Row],Tasks[Pred2 UID],Tasks[[#This Row],[UID]]),_xlfn.MAXIFS(Tasks[_Row],Tasks[Pred3 UID],Tasks[[#This Row],[UID]]),_xlfn.MAXIFS(Tasks[_Row],Tasks[Pred4 UID],Tasks[[#This Row],[UID]])))</f>
        <v>0</v>
      </c>
      <c r="CZ2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1" s="101" t="str">
        <f aca="false">IF(NOT(Tasks[[#This Row],[_IsLeaf]]=1),"",IF(N(Tasks[[#This Row],[Duration]])&lt;=0,Tasks[[#This Row],[_LeafLateFinish]],WORKDAY.INTL(Tasks[[#This Row],[_LeafLateFinish]],-(Tasks[[#This Row],[Duration]]-1),WorkWeek,Holidays)))</f>
        <v/>
      </c>
      <c r="DC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1" s="100" t="b">
        <f aca="false">AND(Tasks[[#This Row],[_IsLeaf]]=1,Tasks[[#This Row],[_LeafProgress]]&lt;1,N(Tasks[[#This Row],[_LeafTotalSlack]])&lt;=CriticalSlackDays)</f>
        <v>0</v>
      </c>
      <c r="DE201" s="41" t="n">
        <f aca="false">IF(AND(Tasks[[#This Row],[_IsLeaf]]=1,Tasks[[#This Row],[_ConstraintCode]]=1,Tasks[[#This Row],[Mode]]&lt;&gt;"Manual",N(Tasks[[#This Row],[Actual Start]])=0),MAX(0,N(Tasks[[#This Row],[Free Slack]])),0)</f>
        <v>0</v>
      </c>
      <c r="DF201" s="101" t="str">
        <f aca="false">IF(NOT(Tasks[[#This Row],[_IsLeaf]]=1),"",IF(Tasks[[#This Row],[_AlapShift]]=0,Tasks[[#This Row],[_LeafCalcStart]],WORKDAY.INTL(Tasks[[#This Row],[_LeafCalcStart]],Tasks[[#This Row],[_AlapShift]],WorkWeek,Holidays)))</f>
        <v/>
      </c>
      <c r="DG201" s="101" t="str">
        <f aca="false">IF(NOT(Tasks[[#This Row],[_IsLeaf]]=1),"",IF(Tasks[[#This Row],[_AlapShift]]=0,Tasks[[#This Row],[_LeafCalcFinish]],WORKDAY.INTL(Tasks[[#This Row],[_LeafCalcFinish]],Tasks[[#This Row],[_AlapShift]],WorkWeek,Holidays)))</f>
        <v/>
      </c>
      <c r="DH201" s="101" t="str">
        <f aca="false">IF(NOT(Tasks[[#This Row],[_IsLeaf]]=1),"",IF(Tasks[[#This Row],[_AlapShift]]=0,Tasks[[#This Row],[_LeafFcstStart]],WORKDAY.INTL(Tasks[[#This Row],[_LeafFcstStart]],Tasks[[#This Row],[_AlapShift]],WorkWeek,Holidays)))</f>
        <v/>
      </c>
      <c r="DI201" s="101" t="str">
        <f aca="false">IF(NOT(Tasks[[#This Row],[_IsLeaf]]=1),"",IF(Tasks[[#This Row],[_AlapShift]]=0,Tasks[[#This Row],[_LeafFcstFinish]],WORKDAY.INTL(Tasks[[#This Row],[_LeafFcstFinish]],Tasks[[#This Row],[_AlapShift]],WorkWeek,Holidays)))</f>
        <v/>
      </c>
      <c r="DJ201" s="101" t="str">
        <f aca="false">IF(Tasks[[#This Row],[Task Name]]="","",IF(Tasks[[#This Row],[_IsSummary]],MIN(INDEX(Tasks[_ShownCalcStart],Tasks[[#This Row],[_Row]]+1):INDEX(Tasks[_ShownCalcStart],Tasks[[#This Row],[_Row]]+Tasks[[#This Row],[_Descendants]])),Tasks[[#This Row],[_ShownCalcStart]]))</f>
        <v/>
      </c>
      <c r="DK201" s="101" t="str">
        <f aca="false">IF(Tasks[[#This Row],[Task Name]]="","",IF(Tasks[[#This Row],[_IsSummary]],MAX(INDEX(Tasks[_ShownCalcFinish],Tasks[[#This Row],[_Row]]+1):INDEX(Tasks[_ShownCalcFinish],Tasks[[#This Row],[_Row]]+Tasks[[#This Row],[_Descendants]])),Tasks[[#This Row],[_ShownCalcFinish]]))</f>
        <v/>
      </c>
      <c r="D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1" s="41" t="n">
        <f aca="false">IF(AND(Tasks[[#This Row],[_IsLeaf]]=1,Tasks[[#This Row],[_LeafTotalWork]]&gt;0),NETWORKDAYS.INTL(ProjectStart,Tasks[[#This Row],[_ShownFcstStart]],WorkWeek,Holidays),0)</f>
        <v>0</v>
      </c>
      <c r="DY201" s="41" t="n">
        <f aca="false">IF(AND(Tasks[[#This Row],[_IsLeaf]]=1,Tasks[[#This Row],[_LeafTotalWork]]&gt;0),MAX(Tasks[[#This Row],[_StartWorkday]],NETWORKDAYS.INTL(ProjectStart,Tasks[[#This Row],[_ShownFcstFinish]],WorkWeek,Holidays)),0)</f>
        <v>0</v>
      </c>
      <c r="DZ201" s="41" t="n">
        <f aca="false">IF(AND(Tasks[[#This Row],[_IsLeaf]]=1,Tasks[[#This Row],[_LeafTotalWork]]&gt;0),Tasks[[#This Row],[_LeafWork]]/(Tasks[[#This Row],[_FinishWorkday]]-Tasks[[#This Row],[_StartWorkday]]+1),0)</f>
        <v>0</v>
      </c>
      <c r="EA201" s="41" t="n">
        <f aca="false">Tasks[[#This Row],[_WorkPerWorkday]]*(Tasks[[#This Row],[_StartWorkday]]-1)</f>
        <v>-0</v>
      </c>
      <c r="EB201" s="41" t="n">
        <f aca="false">IF(Tasks[[#This Row],[_IsLeaf]]=1,MAX(N(Tasks[[#This Row],[Duration]]),0.1),0)</f>
        <v>0</v>
      </c>
      <c r="EC201" s="41" t="n">
        <f aca="false">Tasks[[#This Row],[_WeightDur]]*Tasks[[#This Row],[_LeafProgress]]</f>
        <v>0</v>
      </c>
      <c r="ED2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1" s="41" t="str">
        <f aca="false">IF(AND(Tasks[[#This Row],[_IsLeaf]]=1,N(Tasks[[#This Row],[Duration]])=0,Tasks[[#This Row],[_LeafProgress]]&lt;1),Tasks[[#This Row],[_ShownFcstFinish]]+Tasks[[#This Row],[_Row]]/100000,"")</f>
        <v/>
      </c>
      <c r="EF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1" s="41" t="n">
        <f aca="false">IF(NOT(Tasks[[#This Row],[_IsLeaf]]=1),0,IF(Tasks[[#This Row],[Baseline Cost]]="",Tasks[[#This Row],[_LeafTotalCost]],N(Tasks[[#This Row],[Baseline Cost]])))</f>
        <v>0</v>
      </c>
      <c r="EH201" s="41" t="n">
        <f aca="false">Tasks[[#This Row],[_LeafBudget]]*Tasks[[#This Row],[_PlannedPct]]</f>
        <v>0</v>
      </c>
      <c r="EI201" s="41" t="n">
        <f aca="false">Tasks[[#This Row],[_LeafBudget]]*Tasks[[#This Row],[_LeafProgress]]</f>
        <v>0</v>
      </c>
      <c r="EJ201" s="41" t="n">
        <f aca="false">IF(NOT(Tasks[[#This Row],[_IsLeaf]]=1),0,IF(Tasks[[#This Row],[Actual Cost]]="",Tasks[[#This Row],[_LeafTotalCost]]*Tasks[[#This Row],[_LeafProgress]],N(Tasks[[#This Row],[Actual Cost]])))</f>
        <v>0</v>
      </c>
      <c r="EK201" s="41" t="str">
        <f aca="false">IF(Tasks[[#This Row],[Task Name]]="","",LEFT(Tasks[[#This Row],[WBS]],FIND(".",Tasks[[#This Row],[WBS]]&amp;".")-1))</f>
        <v/>
      </c>
      <c r="EL201" s="41" t="str">
        <f aca="false">IF(AND(Tasks[[#This Row],[Task Name]]&lt;&gt;"",Tasks[[#This Row],[_Level]]=1),Tasks[[#This Row],[_Row]],"")</f>
        <v/>
      </c>
      <c r="EM201" s="41" t="str">
        <f aca="false">IF(AND(Tasks[[#This Row],[_IsLeaf]]=1,N(Tasks[[#This Row],[Duration]])=0),Tasks[[#This Row],[Planned Finish]]+Tasks[[#This Row],[_Row]]/100000,"")</f>
        <v/>
      </c>
      <c r="EN201" s="41" t="str">
        <f aca="false">IF(AND(Tasks[[#This Row],[_IsLeaf]]=1,Tasks[[#This Row],[_LeafProgress]]&lt;1,OR(N(Tasks[[#This Row],[Finish Var]])&gt;0,Tasks[[#This Row],[Status]]="Late Start")),MAX(0,Tasks[[#This Row],[Finish Var]])+1-Tasks[[#This Row],[_Row]]/1000000,"")</f>
        <v/>
      </c>
      <c r="EO201" s="41" t="str">
        <f aca="false">IF(AND(Tasks[[#This Row],[_IsLeaf]]=1,N(Tasks[[#This Row],[Actual Start]])=0,Tasks[[#This Row],[_ShownFcstStart]]&gt;=StatusDate,Tasks[[#This Row],[_ShownFcstStart]]&lt;=LookaheadEnd),Tasks[[#This Row],[_ShownFcstStart]]+Tasks[[#This Row],[_Row]]/100000,"")</f>
        <v/>
      </c>
      <c r="EP201" s="41" t="str">
        <f aca="false">IF(AND(Tasks[[#This Row],[_IsLeaf]]=1,Tasks[[#This Row],[_LeafProgress]]&lt;1,Tasks[[#This Row],[_ShownFcstFinish]]&gt;=StatusDate,Tasks[[#This Row],[_ShownFcstFinish]]&lt;=LookaheadEnd),Tasks[[#This Row],[_ShownFcstFinish]]+Tasks[[#This Row],[_Row]]/100000,"")</f>
        <v/>
      </c>
      <c r="EQ201" s="41" t="str">
        <f aca="false">IF(Tasks[[#This Row],[_LeafCritical]],Tasks[[#This Row],[_ShownFcstStart]]+Tasks[[#This Row],[_Row]]/100000,"")</f>
        <v/>
      </c>
      <c r="ER201" s="41" t="n">
        <f aca="false">Tasks[[#This Row],[_LeafWork]]*Tasks[[#This Row],[_LeafProgress]]</f>
        <v>0</v>
      </c>
      <c r="ES201" s="101" t="str">
        <f aca="false">IF(AND(Tasks[[#This Row],[_IsLeaf]]=1,Tasks[[#This Row],[_LeafProgress]]&gt;=1),IF(N(Tasks[[#This Row],[Actual Finish]])&gt;0,Tasks[[#This Row],[Actual Finish]],Tasks[[#This Row],[_ShownFcstFinish]]),"")</f>
        <v/>
      </c>
      <c r="ET201" s="41" t="n">
        <f aca="false">IF(Tasks[[#This Row],[_IsLeaf]]=1,N(Tasks[[#This Row],[Story Points]]),0)</f>
        <v>0</v>
      </c>
      <c r="EU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29"/>
      <c r="O202" s="29"/>
      <c r="P202" s="29"/>
      <c r="Q202" s="29"/>
      <c r="R202" s="29"/>
      <c r="S202" s="29"/>
      <c r="T202" s="30"/>
      <c r="U202" s="75"/>
      <c r="V202" s="75"/>
      <c r="W202" s="25" t="str">
        <f aca="false">IF(Tasks[[#This Row],[Task Name]]="","",IF(N(Tasks[[#This Row],[Baseline Start]])&gt;0,Tasks[[#This Row],[Baseline Start]],Tasks[[#This Row],[_CalcStart]]))</f>
        <v/>
      </c>
      <c r="X202" s="25" t="str">
        <f aca="false">IF(Tasks[[#This Row],[Task Name]]="","",IF(N(Tasks[[#This Row],[Baseline Finish]])&gt;0,Tasks[[#This Row],[Baseline Finish]],Tasks[[#This Row],[_CalcFinish]]))</f>
        <v/>
      </c>
      <c r="Y202" s="75"/>
      <c r="Z202" s="75"/>
      <c r="AA202" s="25" t="str">
        <f aca="false">IF(Tasks[[#This Row],[Task Name]]="","",IF(Tasks[[#This Row],[_IsSummary]],MIN(INDEX(Tasks[_ShownFcstStart],Tasks[[#This Row],[_Row]]+1):INDEX(Tasks[_ShownFcstStart],Tasks[[#This Row],[_Row]]+Tasks[[#This Row],[_Descendants]])),Tasks[[#This Row],[_ShownFcstStart]]))</f>
        <v/>
      </c>
      <c r="AB202" s="25" t="str">
        <f aca="false">IF(Tasks[[#This Row],[Task Name]]="","",IF(Tasks[[#This Row],[_IsSummary]],MAX(INDEX(Tasks[_ShownFcstFinish],Tasks[[#This Row],[_Row]]+1):INDEX(Tasks[_ShownFcstFinish],Tasks[[#This Row],[_Row]]+Tasks[[#This Row],[_Descendants]])),Tasks[[#This Row],[_ShownFcstFinish]]))</f>
        <v/>
      </c>
      <c r="AC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2" s="25" t="str">
        <f aca="false">IF(Tasks[[#This Row],[Task Name]]="","",IF(Tasks[[#This Row],[_IsSummary]],MIN(INDEX(Tasks[_LeafLateStart],Tasks[[#This Row],[_Row]]+1):INDEX(Tasks[_LeafLateStart],Tasks[[#This Row],[_Row]]+Tasks[[#This Row],[_Descendants]])),Tasks[[#This Row],[_LeafLateStart]]))</f>
        <v/>
      </c>
      <c r="AF202" s="25" t="str">
        <f aca="false">IF(Tasks[[#This Row],[Task Name]]="","",IF(Tasks[[#This Row],[_IsSummary]],MAX(INDEX(Tasks[_LeafLateFinish],Tasks[[#This Row],[_Row]]+1):INDEX(Tasks[_LeafLateFinish],Tasks[[#This Row],[_Row]]+Tasks[[#This Row],[_Descendants]])),Tasks[[#This Row],[_LeafLateFinish]]))</f>
        <v/>
      </c>
      <c r="AG202" s="28" t="str">
        <f aca="false">IF(Tasks[[#This Row],[Task Name]]="","",IF(Tasks[[#This Row],[_IsSummary]],MIN(INDEX(Tasks[_LeafTotalSlack],Tasks[[#This Row],[_Row]]+1):INDEX(Tasks[_LeafTotalSlack],Tasks[[#This Row],[_Row]]+Tasks[[#This Row],[_Descendants]])),Tasks[[#This Row],[_LeafTotalSlack]]))</f>
        <v/>
      </c>
      <c r="AH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2" s="28" t="str">
        <f aca="false">IF(Tasks[[#This Row],[Task Name]]="","",IF(IF(Tasks[[#This Row],[_IsSummary]],COUNTIF(INDEX(Tasks[_LeafCritical],Tasks[[#This Row],[_Row]]+1):INDEX(Tasks[_LeafCritical],Tasks[[#This Row],[_Row]]+Tasks[[#This Row],[_Descendants]]),TRUE())&gt;0,Tasks[[#This Row],[_LeafCritical]]),"Yes",""))</f>
        <v/>
      </c>
      <c r="AJ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2" s="89"/>
      <c r="AM2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2" s="28" t="str">
        <f aca="false">IF(Tasks[[#This Row],[Task Name]]="","",IF(Tasks[[#This Row],[Progress]]&gt;=1,"Complete",IF(OR(N(Tasks[[#This Row],[Actual Start]])&gt;0,Tasks[[#This Row],[Progress]]&gt;0),IF(Tasks[[#This Row],[Finish Var]]&gt;0,"Behind","In Progress"),IF(Tasks[[#This Row],[Planned Start]]&lt;StatusDate,"Late Start","Not Started"))))</f>
        <v/>
      </c>
      <c r="AO202" s="30"/>
      <c r="AP202" s="89"/>
      <c r="AQ2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2" s="96" t="str">
        <f aca="false">IF(Tasks[[#This Row],[Task Name]]="","",IF(Tasks[[#This Row],[_IsSummary]],SUM(INDEX(Tasks[_LeafTotalWork],Tasks[[#This Row],[_Row]]+1):INDEX(Tasks[_LeafTotalWork],Tasks[[#This Row],[_Row]]+Tasks[[#This Row],[_Descendants]])),Tasks[[#This Row],[_LeafTotalWork]]))</f>
        <v/>
      </c>
      <c r="AT202" s="97" t="str">
        <f aca="false">IF(Tasks[[#This Row],[Task Name]]="","",IF(Tasks[[#This Row],[_IsSummary]],SUM(INDEX(Tasks[_LeafTotalCost],Tasks[[#This Row],[_Row]]+1):INDEX(Tasks[_LeafTotalCost],Tasks[[#This Row],[_Row]]+Tasks[[#This Row],[_Descendants]])),Tasks[[#This Row],[_LeafTotalCost]]))</f>
        <v/>
      </c>
      <c r="AU202" s="98"/>
      <c r="AV202" s="29"/>
      <c r="AW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2" s="83"/>
      <c r="AY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2" s="30"/>
      <c r="BA202" s="25" t="str">
        <f aca="false">IF(Tasks[[#This Row],[Task Name]]="","",Tasks[[#This Row],[Forecast Start]])</f>
        <v/>
      </c>
      <c r="BB202" s="25" t="str">
        <f aca="false">IF(Tasks[[#This Row],[Task Name]]="","",Tasks[[#This Row],[Forecast Finish]])</f>
        <v/>
      </c>
      <c r="BC202" s="28" t="str">
        <f aca="false">IF(Tasks[[#This Row],[Task Name]]="","",IF(Tasks[[#This Row],[_IsSummary]],NETWORKDAYS.INTL(Tasks[[#This Row],[Forecast Start]],Tasks[[#This Row],[Forecast Finish]],WorkWeek,Holidays),N(Tasks[[#This Row],[Duration]])))</f>
        <v/>
      </c>
      <c r="BD202" s="96" t="str">
        <f aca="false">IF(Tasks[[#This Row],[Task Name]]="","",Tasks[[#This Row],[Work]])</f>
        <v/>
      </c>
      <c r="BE202" s="97" t="str">
        <f aca="false">IF(Tasks[[#This Row],[Task Name]]="","",Tasks[[#This Row],[Cost]])</f>
        <v/>
      </c>
      <c r="BF202" s="75"/>
      <c r="BG202" s="75"/>
      <c r="BH202" s="29"/>
      <c r="BI202" s="99"/>
      <c r="BJ202" s="98"/>
      <c r="BK202" s="28" t="str">
        <f aca="false">IF(OR(Tasks[[#This Row],[Task Name]]="",Tasks[[#This Row],[Baseline Duration]]=""),"",Tasks[[#This Row],[BL Source Duration]]-N(Tasks[[#This Row],[Baseline Duration]]))</f>
        <v/>
      </c>
      <c r="BL202" s="96" t="str">
        <f aca="false">IF(OR(Tasks[[#This Row],[Task Name]]="",Tasks[[#This Row],[Baseline Work]]=""),"",Tasks[[#This Row],[Work]]-N(Tasks[[#This Row],[Baseline Work]]))</f>
        <v/>
      </c>
      <c r="BM202" s="97" t="str">
        <f aca="false">IF(OR(Tasks[[#This Row],[Task Name]]="",Tasks[[#This Row],[Baseline Cost]]=""),"",Tasks[[#This Row],[Cost]]-N(Tasks[[#This Row],[Baseline Cost]]))</f>
        <v/>
      </c>
      <c r="BN202" s="97" t="str">
        <f aca="false">IF(Tasks[[#This Row],[Task Name]]="","",IF(Tasks[[#This Row],[_IsSummary]],SUM(INDEX(Tasks[_LeafBudget],Tasks[[#This Row],[_Row]]+1):INDEX(Tasks[_LeafBudget],Tasks[[#This Row],[_Row]]+Tasks[[#This Row],[_Descendants]])),Tasks[[#This Row],[_LeafBudget]]))</f>
        <v/>
      </c>
      <c r="BO202" s="97" t="str">
        <f aca="false">IF(Tasks[[#This Row],[Task Name]]="","",IF(Tasks[[#This Row],[_IsSummary]],SUM(INDEX(Tasks[_LeafPV],Tasks[[#This Row],[_Row]]+1):INDEX(Tasks[_LeafPV],Tasks[[#This Row],[_Row]]+Tasks[[#This Row],[_Descendants]])),Tasks[[#This Row],[_LeafPV]]))</f>
        <v/>
      </c>
      <c r="BP202" s="97" t="str">
        <f aca="false">IF(Tasks[[#This Row],[Task Name]]="","",IF(Tasks[[#This Row],[_IsSummary]],SUM(INDEX(Tasks[_LeafEV],Tasks[[#This Row],[_Row]]+1):INDEX(Tasks[_LeafEV],Tasks[[#This Row],[_Row]]+Tasks[[#This Row],[_Descendants]])),Tasks[[#This Row],[_LeafEV]]))</f>
        <v/>
      </c>
      <c r="BQ202" s="97" t="str">
        <f aca="false">IF(Tasks[[#This Row],[Task Name]]="","",IF(Tasks[[#This Row],[_IsSummary]],SUM(INDEX(Tasks[_LeafAC],Tasks[[#This Row],[_Row]]+1):INDEX(Tasks[_LeafAC],Tasks[[#This Row],[_Row]]+Tasks[[#This Row],[_Descendants]])),Tasks[[#This Row],[_LeafAC]]))</f>
        <v/>
      </c>
      <c r="BR202" s="41" t="str">
        <f aca="false">IF(Tasks[[#This Row],[Task Name]]="","",MAX(1,N(Tasks[[#This Row],[Level]])))</f>
        <v/>
      </c>
      <c r="BS202" s="41" t="n">
        <f aca="false">ROW()-ROW(Tasks[[#Headers],[ID]])</f>
        <v>197</v>
      </c>
      <c r="BT202" s="41" t="n">
        <f aca="false">IF(OR(Tasks[[#This Row],[Task Name]]="",Tasks[[#This Row],[_Level]]&lt;=1),0,IFERROR(LOOKUP(2,1/(Tasks[[#Headers],[_Level]]:Tasks[[#This Row],[_Level]]=Tasks[[#This Row],[_Level]]-1),ROW(Tasks[[#Headers],[_Level]]:Tasks[[#This Row],[_Level]])),0))</f>
        <v>0</v>
      </c>
      <c r="BU202" s="41" t="n">
        <f aca="false">IFERROR(N(INDEX(Tasks[_Level],Tasks[[#This Row],[_Row]]+1)),0)</f>
        <v>0</v>
      </c>
      <c r="BV202" s="100" t="b">
        <f aca="false">AND(Tasks[[#This Row],[Task Name]]&lt;&gt;"",Tasks[[#This Row],[_NextLevel]]&gt;Tasks[[#This Row],[_Level]])</f>
        <v>0</v>
      </c>
      <c r="BW202" s="41" t="n">
        <f aca="false">IF(Tasks[[#This Row],[_IsSummary]],COUNTIF(Tasks[WBS],Tasks[[#This Row],[WBS]]&amp;".*"),0)</f>
        <v>0</v>
      </c>
      <c r="BX202" s="41" t="n">
        <f aca="false">IF(AND(Tasks[[#This Row],[Task Name]]&lt;&gt;"",NOT(Tasks[[#This Row],[_IsSummary]])),1,0)</f>
        <v>0</v>
      </c>
      <c r="BY202" s="41" t="n">
        <f aca="false">IF(N(Tasks[[#This Row],[Pred1 UID]])=0,0,IFERROR(MATCH(Tasks[[#This Row],[Pred1 UID]],Tasks[UID],0),-1))</f>
        <v>0</v>
      </c>
      <c r="BZ202" s="41" t="n">
        <f aca="false">IF(N(Tasks[[#This Row],[Pred2 UID]])=0,0,IFERROR(MATCH(Tasks[[#This Row],[Pred2 UID]],Tasks[UID],0),-1))</f>
        <v>0</v>
      </c>
      <c r="CA202" s="41" t="n">
        <f aca="false">IF(N(Tasks[[#This Row],[Pred3 UID]])=0,0,IFERROR(MATCH(Tasks[[#This Row],[Pred3 UID]],Tasks[UID],0),-1))</f>
        <v>0</v>
      </c>
      <c r="CB202" s="41" t="n">
        <f aca="false">IF(N(Tasks[[#This Row],[Pred4 UID]])=0,0,IFERROR(MATCH(Tasks[[#This Row],[Pred4 UID]],Tasks[UID],0),-1))</f>
        <v>0</v>
      </c>
      <c r="CC2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2" s="101" t="n">
        <f aca="false">IF(OR(Tasks[[#This Row],[_ConstraintCode]]=2,Tasks[[#This Row],[_ConstraintCode]]=3,Tasks[[#This Row],[_ConstraintCode]]=4,Tasks[[#This Row],[_ConstraintCode]]=6),Tasks[[#This Row],[_ConstraintStart]],0)</f>
        <v>0</v>
      </c>
      <c r="CF202" s="101" t="n">
        <f aca="false">IF(OR(Tasks[[#This Row],[_ConstraintCode]]=2,Tasks[[#This Row],[_ConstraintCode]]=3,Tasks[[#This Row],[_ConstraintCode]]=5,Tasks[[#This Row],[_ConstraintCode]]=7),Tasks[[#This Row],[_ConstraintStart]],2958465)</f>
        <v>2958465</v>
      </c>
      <c r="CG20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2" s="101" t="str">
        <f aca="false">IF(NOT(Tasks[[#This Row],[_IsLeaf]]=1),"",IF(N(Tasks[[#This Row],[Duration]])&lt;=0,Tasks[[#This Row],[_LeafCalcStart]],WORKDAY.INTL(Tasks[[#This Row],[_LeafCalcStart]],Tasks[[#This Row],[Duration]]-1,WorkWeek,Holidays)))</f>
        <v/>
      </c>
      <c r="CI20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2" s="41" t="n">
        <f aca="false">IF(NOT(Tasks[[#This Row],[_IsLeaf]]=1),0,IF(N(Tasks[[#This Row],[Actual Finish]])&gt;0,1,MIN(1,N(Tasks[[#This Row],[% Complete]]))))</f>
        <v>0</v>
      </c>
      <c r="CL202" s="41" t="n">
        <f aca="false">IF(OR(NOT(Tasks[[#This Row],[_IsLeaf]]=1),Tasks[[#This Row],[Resource]]=""),0,N(Tasks[[#This Row],[Duration]])*HoursPerDay*IF(Tasks[[#This Row],[Units]]="",DefaultUnits,Tasks[[#This Row],[Units]]))</f>
        <v>0</v>
      </c>
      <c r="CM202" s="41" t="n">
        <f aca="false">IF(Tasks[[#This Row],[_LeafWork]]=0,0,Tasks[[#This Row],[_LeafWork]]*IFERROR(INDEX(res_Rate,MATCH(Tasks[[#This Row],[Resource]],res_Name,0)),0))</f>
        <v>0</v>
      </c>
      <c r="CN202" s="41" t="n">
        <f aca="false">Tasks[[#This Row],[_LeafWork]]+IF(Tasks[[#This Row],[_IsLeaf]]=1,SUMIFS(asg_Work,asg_TaskUID,Tasks[[#This Row],[UID]],asg_Valid,1),0)</f>
        <v>0</v>
      </c>
      <c r="CO202" s="41" t="n">
        <f aca="false">Tasks[[#This Row],[_LeafCost]]+IF(Tasks[[#This Row],[_IsLeaf]]=1,SUMIFS(asg_Cost,asg_TaskUID,Tasks[[#This Row],[UID]],asg_Valid,1),0)</f>
        <v>0</v>
      </c>
      <c r="CP202" s="41" t="n">
        <f aca="false">IF(Tasks[[#This Row],[_LeafTotalCost]]=0,Tasks[[#This Row],[_LeafAC]],Tasks[[#This Row],[_LeafAC]]*Tasks[[#This Row],[_LeafCost]]/Tasks[[#This Row],[_LeafTotalCost]])</f>
        <v>0</v>
      </c>
      <c r="CQ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2" s="41" t="n">
        <f aca="false">IF(NOT(Tasks[[#This Row],[_IsLeaf]]=1),0,MAX(_xlfn.MAXIFS(Tasks[_Row],Tasks[Pred1 UID],Tasks[[#This Row],[UID]]),_xlfn.MAXIFS(Tasks[_Row],Tasks[Pred2 UID],Tasks[[#This Row],[UID]]),_xlfn.MAXIFS(Tasks[_Row],Tasks[Pred3 UID],Tasks[[#This Row],[UID]]),_xlfn.MAXIFS(Tasks[_Row],Tasks[Pred4 UID],Tasks[[#This Row],[UID]])))</f>
        <v>0</v>
      </c>
      <c r="CZ2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2" s="101" t="str">
        <f aca="false">IF(NOT(Tasks[[#This Row],[_IsLeaf]]=1),"",IF(N(Tasks[[#This Row],[Duration]])&lt;=0,Tasks[[#This Row],[_LeafLateFinish]],WORKDAY.INTL(Tasks[[#This Row],[_LeafLateFinish]],-(Tasks[[#This Row],[Duration]]-1),WorkWeek,Holidays)))</f>
        <v/>
      </c>
      <c r="DC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2" s="100" t="b">
        <f aca="false">AND(Tasks[[#This Row],[_IsLeaf]]=1,Tasks[[#This Row],[_LeafProgress]]&lt;1,N(Tasks[[#This Row],[_LeafTotalSlack]])&lt;=CriticalSlackDays)</f>
        <v>0</v>
      </c>
      <c r="DE202" s="41" t="n">
        <f aca="false">IF(AND(Tasks[[#This Row],[_IsLeaf]]=1,Tasks[[#This Row],[_ConstraintCode]]=1,Tasks[[#This Row],[Mode]]&lt;&gt;"Manual",N(Tasks[[#This Row],[Actual Start]])=0),MAX(0,N(Tasks[[#This Row],[Free Slack]])),0)</f>
        <v>0</v>
      </c>
      <c r="DF202" s="101" t="str">
        <f aca="false">IF(NOT(Tasks[[#This Row],[_IsLeaf]]=1),"",IF(Tasks[[#This Row],[_AlapShift]]=0,Tasks[[#This Row],[_LeafCalcStart]],WORKDAY.INTL(Tasks[[#This Row],[_LeafCalcStart]],Tasks[[#This Row],[_AlapShift]],WorkWeek,Holidays)))</f>
        <v/>
      </c>
      <c r="DG202" s="101" t="str">
        <f aca="false">IF(NOT(Tasks[[#This Row],[_IsLeaf]]=1),"",IF(Tasks[[#This Row],[_AlapShift]]=0,Tasks[[#This Row],[_LeafCalcFinish]],WORKDAY.INTL(Tasks[[#This Row],[_LeafCalcFinish]],Tasks[[#This Row],[_AlapShift]],WorkWeek,Holidays)))</f>
        <v/>
      </c>
      <c r="DH202" s="101" t="str">
        <f aca="false">IF(NOT(Tasks[[#This Row],[_IsLeaf]]=1),"",IF(Tasks[[#This Row],[_AlapShift]]=0,Tasks[[#This Row],[_LeafFcstStart]],WORKDAY.INTL(Tasks[[#This Row],[_LeafFcstStart]],Tasks[[#This Row],[_AlapShift]],WorkWeek,Holidays)))</f>
        <v/>
      </c>
      <c r="DI202" s="101" t="str">
        <f aca="false">IF(NOT(Tasks[[#This Row],[_IsLeaf]]=1),"",IF(Tasks[[#This Row],[_AlapShift]]=0,Tasks[[#This Row],[_LeafFcstFinish]],WORKDAY.INTL(Tasks[[#This Row],[_LeafFcstFinish]],Tasks[[#This Row],[_AlapShift]],WorkWeek,Holidays)))</f>
        <v/>
      </c>
      <c r="DJ202" s="101" t="str">
        <f aca="false">IF(Tasks[[#This Row],[Task Name]]="","",IF(Tasks[[#This Row],[_IsSummary]],MIN(INDEX(Tasks[_ShownCalcStart],Tasks[[#This Row],[_Row]]+1):INDEX(Tasks[_ShownCalcStart],Tasks[[#This Row],[_Row]]+Tasks[[#This Row],[_Descendants]])),Tasks[[#This Row],[_ShownCalcStart]]))</f>
        <v/>
      </c>
      <c r="DK202" s="101" t="str">
        <f aca="false">IF(Tasks[[#This Row],[Task Name]]="","",IF(Tasks[[#This Row],[_IsSummary]],MAX(INDEX(Tasks[_ShownCalcFinish],Tasks[[#This Row],[_Row]]+1):INDEX(Tasks[_ShownCalcFinish],Tasks[[#This Row],[_Row]]+Tasks[[#This Row],[_Descendants]])),Tasks[[#This Row],[_ShownCalcFinish]]))</f>
        <v/>
      </c>
      <c r="D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2" s="41" t="n">
        <f aca="false">IF(AND(Tasks[[#This Row],[_IsLeaf]]=1,Tasks[[#This Row],[_LeafTotalWork]]&gt;0),NETWORKDAYS.INTL(ProjectStart,Tasks[[#This Row],[_ShownFcstStart]],WorkWeek,Holidays),0)</f>
        <v>0</v>
      </c>
      <c r="DY202" s="41" t="n">
        <f aca="false">IF(AND(Tasks[[#This Row],[_IsLeaf]]=1,Tasks[[#This Row],[_LeafTotalWork]]&gt;0),MAX(Tasks[[#This Row],[_StartWorkday]],NETWORKDAYS.INTL(ProjectStart,Tasks[[#This Row],[_ShownFcstFinish]],WorkWeek,Holidays)),0)</f>
        <v>0</v>
      </c>
      <c r="DZ202" s="41" t="n">
        <f aca="false">IF(AND(Tasks[[#This Row],[_IsLeaf]]=1,Tasks[[#This Row],[_LeafTotalWork]]&gt;0),Tasks[[#This Row],[_LeafWork]]/(Tasks[[#This Row],[_FinishWorkday]]-Tasks[[#This Row],[_StartWorkday]]+1),0)</f>
        <v>0</v>
      </c>
      <c r="EA202" s="41" t="n">
        <f aca="false">Tasks[[#This Row],[_WorkPerWorkday]]*(Tasks[[#This Row],[_StartWorkday]]-1)</f>
        <v>-0</v>
      </c>
      <c r="EB202" s="41" t="n">
        <f aca="false">IF(Tasks[[#This Row],[_IsLeaf]]=1,MAX(N(Tasks[[#This Row],[Duration]]),0.1),0)</f>
        <v>0</v>
      </c>
      <c r="EC202" s="41" t="n">
        <f aca="false">Tasks[[#This Row],[_WeightDur]]*Tasks[[#This Row],[_LeafProgress]]</f>
        <v>0</v>
      </c>
      <c r="ED2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2" s="41" t="str">
        <f aca="false">IF(AND(Tasks[[#This Row],[_IsLeaf]]=1,N(Tasks[[#This Row],[Duration]])=0,Tasks[[#This Row],[_LeafProgress]]&lt;1),Tasks[[#This Row],[_ShownFcstFinish]]+Tasks[[#This Row],[_Row]]/100000,"")</f>
        <v/>
      </c>
      <c r="EF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2" s="41" t="n">
        <f aca="false">IF(NOT(Tasks[[#This Row],[_IsLeaf]]=1),0,IF(Tasks[[#This Row],[Baseline Cost]]="",Tasks[[#This Row],[_LeafTotalCost]],N(Tasks[[#This Row],[Baseline Cost]])))</f>
        <v>0</v>
      </c>
      <c r="EH202" s="41" t="n">
        <f aca="false">Tasks[[#This Row],[_LeafBudget]]*Tasks[[#This Row],[_PlannedPct]]</f>
        <v>0</v>
      </c>
      <c r="EI202" s="41" t="n">
        <f aca="false">Tasks[[#This Row],[_LeafBudget]]*Tasks[[#This Row],[_LeafProgress]]</f>
        <v>0</v>
      </c>
      <c r="EJ202" s="41" t="n">
        <f aca="false">IF(NOT(Tasks[[#This Row],[_IsLeaf]]=1),0,IF(Tasks[[#This Row],[Actual Cost]]="",Tasks[[#This Row],[_LeafTotalCost]]*Tasks[[#This Row],[_LeafProgress]],N(Tasks[[#This Row],[Actual Cost]])))</f>
        <v>0</v>
      </c>
      <c r="EK202" s="41" t="str">
        <f aca="false">IF(Tasks[[#This Row],[Task Name]]="","",LEFT(Tasks[[#This Row],[WBS]],FIND(".",Tasks[[#This Row],[WBS]]&amp;".")-1))</f>
        <v/>
      </c>
      <c r="EL202" s="41" t="str">
        <f aca="false">IF(AND(Tasks[[#This Row],[Task Name]]&lt;&gt;"",Tasks[[#This Row],[_Level]]=1),Tasks[[#This Row],[_Row]],"")</f>
        <v/>
      </c>
      <c r="EM202" s="41" t="str">
        <f aca="false">IF(AND(Tasks[[#This Row],[_IsLeaf]]=1,N(Tasks[[#This Row],[Duration]])=0),Tasks[[#This Row],[Planned Finish]]+Tasks[[#This Row],[_Row]]/100000,"")</f>
        <v/>
      </c>
      <c r="EN202" s="41" t="str">
        <f aca="false">IF(AND(Tasks[[#This Row],[_IsLeaf]]=1,Tasks[[#This Row],[_LeafProgress]]&lt;1,OR(N(Tasks[[#This Row],[Finish Var]])&gt;0,Tasks[[#This Row],[Status]]="Late Start")),MAX(0,Tasks[[#This Row],[Finish Var]])+1-Tasks[[#This Row],[_Row]]/1000000,"")</f>
        <v/>
      </c>
      <c r="EO202" s="41" t="str">
        <f aca="false">IF(AND(Tasks[[#This Row],[_IsLeaf]]=1,N(Tasks[[#This Row],[Actual Start]])=0,Tasks[[#This Row],[_ShownFcstStart]]&gt;=StatusDate,Tasks[[#This Row],[_ShownFcstStart]]&lt;=LookaheadEnd),Tasks[[#This Row],[_ShownFcstStart]]+Tasks[[#This Row],[_Row]]/100000,"")</f>
        <v/>
      </c>
      <c r="EP202" s="41" t="str">
        <f aca="false">IF(AND(Tasks[[#This Row],[_IsLeaf]]=1,Tasks[[#This Row],[_LeafProgress]]&lt;1,Tasks[[#This Row],[_ShownFcstFinish]]&gt;=StatusDate,Tasks[[#This Row],[_ShownFcstFinish]]&lt;=LookaheadEnd),Tasks[[#This Row],[_ShownFcstFinish]]+Tasks[[#This Row],[_Row]]/100000,"")</f>
        <v/>
      </c>
      <c r="EQ202" s="41" t="str">
        <f aca="false">IF(Tasks[[#This Row],[_LeafCritical]],Tasks[[#This Row],[_ShownFcstStart]]+Tasks[[#This Row],[_Row]]/100000,"")</f>
        <v/>
      </c>
      <c r="ER202" s="41" t="n">
        <f aca="false">Tasks[[#This Row],[_LeafWork]]*Tasks[[#This Row],[_LeafProgress]]</f>
        <v>0</v>
      </c>
      <c r="ES202" s="101" t="str">
        <f aca="false">IF(AND(Tasks[[#This Row],[_IsLeaf]]=1,Tasks[[#This Row],[_LeafProgress]]&gt;=1),IF(N(Tasks[[#This Row],[Actual Finish]])&gt;0,Tasks[[#This Row],[Actual Finish]],Tasks[[#This Row],[_ShownFcstFinish]]),"")</f>
        <v/>
      </c>
      <c r="ET202" s="41" t="n">
        <f aca="false">IF(Tasks[[#This Row],[_IsLeaf]]=1,N(Tasks[[#This Row],[Story Points]]),0)</f>
        <v>0</v>
      </c>
      <c r="EU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29"/>
      <c r="O203" s="29"/>
      <c r="P203" s="29"/>
      <c r="Q203" s="29"/>
      <c r="R203" s="29"/>
      <c r="S203" s="29"/>
      <c r="T203" s="30"/>
      <c r="U203" s="75"/>
      <c r="V203" s="75"/>
      <c r="W203" s="25" t="str">
        <f aca="false">IF(Tasks[[#This Row],[Task Name]]="","",IF(N(Tasks[[#This Row],[Baseline Start]])&gt;0,Tasks[[#This Row],[Baseline Start]],Tasks[[#This Row],[_CalcStart]]))</f>
        <v/>
      </c>
      <c r="X203" s="25" t="str">
        <f aca="false">IF(Tasks[[#This Row],[Task Name]]="","",IF(N(Tasks[[#This Row],[Baseline Finish]])&gt;0,Tasks[[#This Row],[Baseline Finish]],Tasks[[#This Row],[_CalcFinish]]))</f>
        <v/>
      </c>
      <c r="Y203" s="75"/>
      <c r="Z203" s="75"/>
      <c r="AA203" s="25" t="str">
        <f aca="false">IF(Tasks[[#This Row],[Task Name]]="","",IF(Tasks[[#This Row],[_IsSummary]],MIN(INDEX(Tasks[_ShownFcstStart],Tasks[[#This Row],[_Row]]+1):INDEX(Tasks[_ShownFcstStart],Tasks[[#This Row],[_Row]]+Tasks[[#This Row],[_Descendants]])),Tasks[[#This Row],[_ShownFcstStart]]))</f>
        <v/>
      </c>
      <c r="AB203" s="25" t="str">
        <f aca="false">IF(Tasks[[#This Row],[Task Name]]="","",IF(Tasks[[#This Row],[_IsSummary]],MAX(INDEX(Tasks[_ShownFcstFinish],Tasks[[#This Row],[_Row]]+1):INDEX(Tasks[_ShownFcstFinish],Tasks[[#This Row],[_Row]]+Tasks[[#This Row],[_Descendants]])),Tasks[[#This Row],[_ShownFcstFinish]]))</f>
        <v/>
      </c>
      <c r="AC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3" s="25" t="str">
        <f aca="false">IF(Tasks[[#This Row],[Task Name]]="","",IF(Tasks[[#This Row],[_IsSummary]],MIN(INDEX(Tasks[_LeafLateStart],Tasks[[#This Row],[_Row]]+1):INDEX(Tasks[_LeafLateStart],Tasks[[#This Row],[_Row]]+Tasks[[#This Row],[_Descendants]])),Tasks[[#This Row],[_LeafLateStart]]))</f>
        <v/>
      </c>
      <c r="AF203" s="25" t="str">
        <f aca="false">IF(Tasks[[#This Row],[Task Name]]="","",IF(Tasks[[#This Row],[_IsSummary]],MAX(INDEX(Tasks[_LeafLateFinish],Tasks[[#This Row],[_Row]]+1):INDEX(Tasks[_LeafLateFinish],Tasks[[#This Row],[_Row]]+Tasks[[#This Row],[_Descendants]])),Tasks[[#This Row],[_LeafLateFinish]]))</f>
        <v/>
      </c>
      <c r="AG203" s="28" t="str">
        <f aca="false">IF(Tasks[[#This Row],[Task Name]]="","",IF(Tasks[[#This Row],[_IsSummary]],MIN(INDEX(Tasks[_LeafTotalSlack],Tasks[[#This Row],[_Row]]+1):INDEX(Tasks[_LeafTotalSlack],Tasks[[#This Row],[_Row]]+Tasks[[#This Row],[_Descendants]])),Tasks[[#This Row],[_LeafTotalSlack]]))</f>
        <v/>
      </c>
      <c r="AH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3" s="28" t="str">
        <f aca="false">IF(Tasks[[#This Row],[Task Name]]="","",IF(IF(Tasks[[#This Row],[_IsSummary]],COUNTIF(INDEX(Tasks[_LeafCritical],Tasks[[#This Row],[_Row]]+1):INDEX(Tasks[_LeafCritical],Tasks[[#This Row],[_Row]]+Tasks[[#This Row],[_Descendants]]),TRUE())&gt;0,Tasks[[#This Row],[_LeafCritical]]),"Yes",""))</f>
        <v/>
      </c>
      <c r="AJ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3" s="89"/>
      <c r="AM2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3" s="28" t="str">
        <f aca="false">IF(Tasks[[#This Row],[Task Name]]="","",IF(Tasks[[#This Row],[Progress]]&gt;=1,"Complete",IF(OR(N(Tasks[[#This Row],[Actual Start]])&gt;0,Tasks[[#This Row],[Progress]]&gt;0),IF(Tasks[[#This Row],[Finish Var]]&gt;0,"Behind","In Progress"),IF(Tasks[[#This Row],[Planned Start]]&lt;StatusDate,"Late Start","Not Started"))))</f>
        <v/>
      </c>
      <c r="AO203" s="30"/>
      <c r="AP203" s="89"/>
      <c r="AQ2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3" s="96" t="str">
        <f aca="false">IF(Tasks[[#This Row],[Task Name]]="","",IF(Tasks[[#This Row],[_IsSummary]],SUM(INDEX(Tasks[_LeafTotalWork],Tasks[[#This Row],[_Row]]+1):INDEX(Tasks[_LeafTotalWork],Tasks[[#This Row],[_Row]]+Tasks[[#This Row],[_Descendants]])),Tasks[[#This Row],[_LeafTotalWork]]))</f>
        <v/>
      </c>
      <c r="AT203" s="97" t="str">
        <f aca="false">IF(Tasks[[#This Row],[Task Name]]="","",IF(Tasks[[#This Row],[_IsSummary]],SUM(INDEX(Tasks[_LeafTotalCost],Tasks[[#This Row],[_Row]]+1):INDEX(Tasks[_LeafTotalCost],Tasks[[#This Row],[_Row]]+Tasks[[#This Row],[_Descendants]])),Tasks[[#This Row],[_LeafTotalCost]]))</f>
        <v/>
      </c>
      <c r="AU203" s="98"/>
      <c r="AV203" s="29"/>
      <c r="AW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3" s="83"/>
      <c r="AY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3" s="30"/>
      <c r="BA203" s="25" t="str">
        <f aca="false">IF(Tasks[[#This Row],[Task Name]]="","",Tasks[[#This Row],[Forecast Start]])</f>
        <v/>
      </c>
      <c r="BB203" s="25" t="str">
        <f aca="false">IF(Tasks[[#This Row],[Task Name]]="","",Tasks[[#This Row],[Forecast Finish]])</f>
        <v/>
      </c>
      <c r="BC203" s="28" t="str">
        <f aca="false">IF(Tasks[[#This Row],[Task Name]]="","",IF(Tasks[[#This Row],[_IsSummary]],NETWORKDAYS.INTL(Tasks[[#This Row],[Forecast Start]],Tasks[[#This Row],[Forecast Finish]],WorkWeek,Holidays),N(Tasks[[#This Row],[Duration]])))</f>
        <v/>
      </c>
      <c r="BD203" s="96" t="str">
        <f aca="false">IF(Tasks[[#This Row],[Task Name]]="","",Tasks[[#This Row],[Work]])</f>
        <v/>
      </c>
      <c r="BE203" s="97" t="str">
        <f aca="false">IF(Tasks[[#This Row],[Task Name]]="","",Tasks[[#This Row],[Cost]])</f>
        <v/>
      </c>
      <c r="BF203" s="75"/>
      <c r="BG203" s="75"/>
      <c r="BH203" s="29"/>
      <c r="BI203" s="99"/>
      <c r="BJ203" s="98"/>
      <c r="BK203" s="28" t="str">
        <f aca="false">IF(OR(Tasks[[#This Row],[Task Name]]="",Tasks[[#This Row],[Baseline Duration]]=""),"",Tasks[[#This Row],[BL Source Duration]]-N(Tasks[[#This Row],[Baseline Duration]]))</f>
        <v/>
      </c>
      <c r="BL203" s="96" t="str">
        <f aca="false">IF(OR(Tasks[[#This Row],[Task Name]]="",Tasks[[#This Row],[Baseline Work]]=""),"",Tasks[[#This Row],[Work]]-N(Tasks[[#This Row],[Baseline Work]]))</f>
        <v/>
      </c>
      <c r="BM203" s="97" t="str">
        <f aca="false">IF(OR(Tasks[[#This Row],[Task Name]]="",Tasks[[#This Row],[Baseline Cost]]=""),"",Tasks[[#This Row],[Cost]]-N(Tasks[[#This Row],[Baseline Cost]]))</f>
        <v/>
      </c>
      <c r="BN203" s="97" t="str">
        <f aca="false">IF(Tasks[[#This Row],[Task Name]]="","",IF(Tasks[[#This Row],[_IsSummary]],SUM(INDEX(Tasks[_LeafBudget],Tasks[[#This Row],[_Row]]+1):INDEX(Tasks[_LeafBudget],Tasks[[#This Row],[_Row]]+Tasks[[#This Row],[_Descendants]])),Tasks[[#This Row],[_LeafBudget]]))</f>
        <v/>
      </c>
      <c r="BO203" s="97" t="str">
        <f aca="false">IF(Tasks[[#This Row],[Task Name]]="","",IF(Tasks[[#This Row],[_IsSummary]],SUM(INDEX(Tasks[_LeafPV],Tasks[[#This Row],[_Row]]+1):INDEX(Tasks[_LeafPV],Tasks[[#This Row],[_Row]]+Tasks[[#This Row],[_Descendants]])),Tasks[[#This Row],[_LeafPV]]))</f>
        <v/>
      </c>
      <c r="BP203" s="97" t="str">
        <f aca="false">IF(Tasks[[#This Row],[Task Name]]="","",IF(Tasks[[#This Row],[_IsSummary]],SUM(INDEX(Tasks[_LeafEV],Tasks[[#This Row],[_Row]]+1):INDEX(Tasks[_LeafEV],Tasks[[#This Row],[_Row]]+Tasks[[#This Row],[_Descendants]])),Tasks[[#This Row],[_LeafEV]]))</f>
        <v/>
      </c>
      <c r="BQ203" s="97" t="str">
        <f aca="false">IF(Tasks[[#This Row],[Task Name]]="","",IF(Tasks[[#This Row],[_IsSummary]],SUM(INDEX(Tasks[_LeafAC],Tasks[[#This Row],[_Row]]+1):INDEX(Tasks[_LeafAC],Tasks[[#This Row],[_Row]]+Tasks[[#This Row],[_Descendants]])),Tasks[[#This Row],[_LeafAC]]))</f>
        <v/>
      </c>
      <c r="BR203" s="41" t="str">
        <f aca="false">IF(Tasks[[#This Row],[Task Name]]="","",MAX(1,N(Tasks[[#This Row],[Level]])))</f>
        <v/>
      </c>
      <c r="BS203" s="41" t="n">
        <f aca="false">ROW()-ROW(Tasks[[#Headers],[ID]])</f>
        <v>198</v>
      </c>
      <c r="BT203" s="41" t="n">
        <f aca="false">IF(OR(Tasks[[#This Row],[Task Name]]="",Tasks[[#This Row],[_Level]]&lt;=1),0,IFERROR(LOOKUP(2,1/(Tasks[[#Headers],[_Level]]:Tasks[[#This Row],[_Level]]=Tasks[[#This Row],[_Level]]-1),ROW(Tasks[[#Headers],[_Level]]:Tasks[[#This Row],[_Level]])),0))</f>
        <v>0</v>
      </c>
      <c r="BU203" s="41" t="n">
        <f aca="false">IFERROR(N(INDEX(Tasks[_Level],Tasks[[#This Row],[_Row]]+1)),0)</f>
        <v>0</v>
      </c>
      <c r="BV203" s="100" t="b">
        <f aca="false">AND(Tasks[[#This Row],[Task Name]]&lt;&gt;"",Tasks[[#This Row],[_NextLevel]]&gt;Tasks[[#This Row],[_Level]])</f>
        <v>0</v>
      </c>
      <c r="BW203" s="41" t="n">
        <f aca="false">IF(Tasks[[#This Row],[_IsSummary]],COUNTIF(Tasks[WBS],Tasks[[#This Row],[WBS]]&amp;".*"),0)</f>
        <v>0</v>
      </c>
      <c r="BX203" s="41" t="n">
        <f aca="false">IF(AND(Tasks[[#This Row],[Task Name]]&lt;&gt;"",NOT(Tasks[[#This Row],[_IsSummary]])),1,0)</f>
        <v>0</v>
      </c>
      <c r="BY203" s="41" t="n">
        <f aca="false">IF(N(Tasks[[#This Row],[Pred1 UID]])=0,0,IFERROR(MATCH(Tasks[[#This Row],[Pred1 UID]],Tasks[UID],0),-1))</f>
        <v>0</v>
      </c>
      <c r="BZ203" s="41" t="n">
        <f aca="false">IF(N(Tasks[[#This Row],[Pred2 UID]])=0,0,IFERROR(MATCH(Tasks[[#This Row],[Pred2 UID]],Tasks[UID],0),-1))</f>
        <v>0</v>
      </c>
      <c r="CA203" s="41" t="n">
        <f aca="false">IF(N(Tasks[[#This Row],[Pred3 UID]])=0,0,IFERROR(MATCH(Tasks[[#This Row],[Pred3 UID]],Tasks[UID],0),-1))</f>
        <v>0</v>
      </c>
      <c r="CB203" s="41" t="n">
        <f aca="false">IF(N(Tasks[[#This Row],[Pred4 UID]])=0,0,IFERROR(MATCH(Tasks[[#This Row],[Pred4 UID]],Tasks[UID],0),-1))</f>
        <v>0</v>
      </c>
      <c r="CC2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3" s="101" t="n">
        <f aca="false">IF(OR(Tasks[[#This Row],[_ConstraintCode]]=2,Tasks[[#This Row],[_ConstraintCode]]=3,Tasks[[#This Row],[_ConstraintCode]]=4,Tasks[[#This Row],[_ConstraintCode]]=6),Tasks[[#This Row],[_ConstraintStart]],0)</f>
        <v>0</v>
      </c>
      <c r="CF203" s="101" t="n">
        <f aca="false">IF(OR(Tasks[[#This Row],[_ConstraintCode]]=2,Tasks[[#This Row],[_ConstraintCode]]=3,Tasks[[#This Row],[_ConstraintCode]]=5,Tasks[[#This Row],[_ConstraintCode]]=7),Tasks[[#This Row],[_ConstraintStart]],2958465)</f>
        <v>2958465</v>
      </c>
      <c r="CG20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3" s="101" t="str">
        <f aca="false">IF(NOT(Tasks[[#This Row],[_IsLeaf]]=1),"",IF(N(Tasks[[#This Row],[Duration]])&lt;=0,Tasks[[#This Row],[_LeafCalcStart]],WORKDAY.INTL(Tasks[[#This Row],[_LeafCalcStart]],Tasks[[#This Row],[Duration]]-1,WorkWeek,Holidays)))</f>
        <v/>
      </c>
      <c r="CI20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3" s="41" t="n">
        <f aca="false">IF(NOT(Tasks[[#This Row],[_IsLeaf]]=1),0,IF(N(Tasks[[#This Row],[Actual Finish]])&gt;0,1,MIN(1,N(Tasks[[#This Row],[% Complete]]))))</f>
        <v>0</v>
      </c>
      <c r="CL203" s="41" t="n">
        <f aca="false">IF(OR(NOT(Tasks[[#This Row],[_IsLeaf]]=1),Tasks[[#This Row],[Resource]]=""),0,N(Tasks[[#This Row],[Duration]])*HoursPerDay*IF(Tasks[[#This Row],[Units]]="",DefaultUnits,Tasks[[#This Row],[Units]]))</f>
        <v>0</v>
      </c>
      <c r="CM203" s="41" t="n">
        <f aca="false">IF(Tasks[[#This Row],[_LeafWork]]=0,0,Tasks[[#This Row],[_LeafWork]]*IFERROR(INDEX(res_Rate,MATCH(Tasks[[#This Row],[Resource]],res_Name,0)),0))</f>
        <v>0</v>
      </c>
      <c r="CN203" s="41" t="n">
        <f aca="false">Tasks[[#This Row],[_LeafWork]]+IF(Tasks[[#This Row],[_IsLeaf]]=1,SUMIFS(asg_Work,asg_TaskUID,Tasks[[#This Row],[UID]],asg_Valid,1),0)</f>
        <v>0</v>
      </c>
      <c r="CO203" s="41" t="n">
        <f aca="false">Tasks[[#This Row],[_LeafCost]]+IF(Tasks[[#This Row],[_IsLeaf]]=1,SUMIFS(asg_Cost,asg_TaskUID,Tasks[[#This Row],[UID]],asg_Valid,1),0)</f>
        <v>0</v>
      </c>
      <c r="CP203" s="41" t="n">
        <f aca="false">IF(Tasks[[#This Row],[_LeafTotalCost]]=0,Tasks[[#This Row],[_LeafAC]],Tasks[[#This Row],[_LeafAC]]*Tasks[[#This Row],[_LeafCost]]/Tasks[[#This Row],[_LeafTotalCost]])</f>
        <v>0</v>
      </c>
      <c r="CQ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3" s="41" t="n">
        <f aca="false">IF(NOT(Tasks[[#This Row],[_IsLeaf]]=1),0,MAX(_xlfn.MAXIFS(Tasks[_Row],Tasks[Pred1 UID],Tasks[[#This Row],[UID]]),_xlfn.MAXIFS(Tasks[_Row],Tasks[Pred2 UID],Tasks[[#This Row],[UID]]),_xlfn.MAXIFS(Tasks[_Row],Tasks[Pred3 UID],Tasks[[#This Row],[UID]]),_xlfn.MAXIFS(Tasks[_Row],Tasks[Pred4 UID],Tasks[[#This Row],[UID]])))</f>
        <v>0</v>
      </c>
      <c r="CZ2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3" s="101" t="str">
        <f aca="false">IF(NOT(Tasks[[#This Row],[_IsLeaf]]=1),"",IF(N(Tasks[[#This Row],[Duration]])&lt;=0,Tasks[[#This Row],[_LeafLateFinish]],WORKDAY.INTL(Tasks[[#This Row],[_LeafLateFinish]],-(Tasks[[#This Row],[Duration]]-1),WorkWeek,Holidays)))</f>
        <v/>
      </c>
      <c r="DC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3" s="100" t="b">
        <f aca="false">AND(Tasks[[#This Row],[_IsLeaf]]=1,Tasks[[#This Row],[_LeafProgress]]&lt;1,N(Tasks[[#This Row],[_LeafTotalSlack]])&lt;=CriticalSlackDays)</f>
        <v>0</v>
      </c>
      <c r="DE203" s="41" t="n">
        <f aca="false">IF(AND(Tasks[[#This Row],[_IsLeaf]]=1,Tasks[[#This Row],[_ConstraintCode]]=1,Tasks[[#This Row],[Mode]]&lt;&gt;"Manual",N(Tasks[[#This Row],[Actual Start]])=0),MAX(0,N(Tasks[[#This Row],[Free Slack]])),0)</f>
        <v>0</v>
      </c>
      <c r="DF203" s="101" t="str">
        <f aca="false">IF(NOT(Tasks[[#This Row],[_IsLeaf]]=1),"",IF(Tasks[[#This Row],[_AlapShift]]=0,Tasks[[#This Row],[_LeafCalcStart]],WORKDAY.INTL(Tasks[[#This Row],[_LeafCalcStart]],Tasks[[#This Row],[_AlapShift]],WorkWeek,Holidays)))</f>
        <v/>
      </c>
      <c r="DG203" s="101" t="str">
        <f aca="false">IF(NOT(Tasks[[#This Row],[_IsLeaf]]=1),"",IF(Tasks[[#This Row],[_AlapShift]]=0,Tasks[[#This Row],[_LeafCalcFinish]],WORKDAY.INTL(Tasks[[#This Row],[_LeafCalcFinish]],Tasks[[#This Row],[_AlapShift]],WorkWeek,Holidays)))</f>
        <v/>
      </c>
      <c r="DH203" s="101" t="str">
        <f aca="false">IF(NOT(Tasks[[#This Row],[_IsLeaf]]=1),"",IF(Tasks[[#This Row],[_AlapShift]]=0,Tasks[[#This Row],[_LeafFcstStart]],WORKDAY.INTL(Tasks[[#This Row],[_LeafFcstStart]],Tasks[[#This Row],[_AlapShift]],WorkWeek,Holidays)))</f>
        <v/>
      </c>
      <c r="DI203" s="101" t="str">
        <f aca="false">IF(NOT(Tasks[[#This Row],[_IsLeaf]]=1),"",IF(Tasks[[#This Row],[_AlapShift]]=0,Tasks[[#This Row],[_LeafFcstFinish]],WORKDAY.INTL(Tasks[[#This Row],[_LeafFcstFinish]],Tasks[[#This Row],[_AlapShift]],WorkWeek,Holidays)))</f>
        <v/>
      </c>
      <c r="DJ203" s="101" t="str">
        <f aca="false">IF(Tasks[[#This Row],[Task Name]]="","",IF(Tasks[[#This Row],[_IsSummary]],MIN(INDEX(Tasks[_ShownCalcStart],Tasks[[#This Row],[_Row]]+1):INDEX(Tasks[_ShownCalcStart],Tasks[[#This Row],[_Row]]+Tasks[[#This Row],[_Descendants]])),Tasks[[#This Row],[_ShownCalcStart]]))</f>
        <v/>
      </c>
      <c r="DK203" s="101" t="str">
        <f aca="false">IF(Tasks[[#This Row],[Task Name]]="","",IF(Tasks[[#This Row],[_IsSummary]],MAX(INDEX(Tasks[_ShownCalcFinish],Tasks[[#This Row],[_Row]]+1):INDEX(Tasks[_ShownCalcFinish],Tasks[[#This Row],[_Row]]+Tasks[[#This Row],[_Descendants]])),Tasks[[#This Row],[_ShownCalcFinish]]))</f>
        <v/>
      </c>
      <c r="D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3" s="41" t="n">
        <f aca="false">IF(AND(Tasks[[#This Row],[_IsLeaf]]=1,Tasks[[#This Row],[_LeafTotalWork]]&gt;0),NETWORKDAYS.INTL(ProjectStart,Tasks[[#This Row],[_ShownFcstStart]],WorkWeek,Holidays),0)</f>
        <v>0</v>
      </c>
      <c r="DY203" s="41" t="n">
        <f aca="false">IF(AND(Tasks[[#This Row],[_IsLeaf]]=1,Tasks[[#This Row],[_LeafTotalWork]]&gt;0),MAX(Tasks[[#This Row],[_StartWorkday]],NETWORKDAYS.INTL(ProjectStart,Tasks[[#This Row],[_ShownFcstFinish]],WorkWeek,Holidays)),0)</f>
        <v>0</v>
      </c>
      <c r="DZ203" s="41" t="n">
        <f aca="false">IF(AND(Tasks[[#This Row],[_IsLeaf]]=1,Tasks[[#This Row],[_LeafTotalWork]]&gt;0),Tasks[[#This Row],[_LeafWork]]/(Tasks[[#This Row],[_FinishWorkday]]-Tasks[[#This Row],[_StartWorkday]]+1),0)</f>
        <v>0</v>
      </c>
      <c r="EA203" s="41" t="n">
        <f aca="false">Tasks[[#This Row],[_WorkPerWorkday]]*(Tasks[[#This Row],[_StartWorkday]]-1)</f>
        <v>-0</v>
      </c>
      <c r="EB203" s="41" t="n">
        <f aca="false">IF(Tasks[[#This Row],[_IsLeaf]]=1,MAX(N(Tasks[[#This Row],[Duration]]),0.1),0)</f>
        <v>0</v>
      </c>
      <c r="EC203" s="41" t="n">
        <f aca="false">Tasks[[#This Row],[_WeightDur]]*Tasks[[#This Row],[_LeafProgress]]</f>
        <v>0</v>
      </c>
      <c r="ED2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3" s="41" t="str">
        <f aca="false">IF(AND(Tasks[[#This Row],[_IsLeaf]]=1,N(Tasks[[#This Row],[Duration]])=0,Tasks[[#This Row],[_LeafProgress]]&lt;1),Tasks[[#This Row],[_ShownFcstFinish]]+Tasks[[#This Row],[_Row]]/100000,"")</f>
        <v/>
      </c>
      <c r="EF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3" s="41" t="n">
        <f aca="false">IF(NOT(Tasks[[#This Row],[_IsLeaf]]=1),0,IF(Tasks[[#This Row],[Baseline Cost]]="",Tasks[[#This Row],[_LeafTotalCost]],N(Tasks[[#This Row],[Baseline Cost]])))</f>
        <v>0</v>
      </c>
      <c r="EH203" s="41" t="n">
        <f aca="false">Tasks[[#This Row],[_LeafBudget]]*Tasks[[#This Row],[_PlannedPct]]</f>
        <v>0</v>
      </c>
      <c r="EI203" s="41" t="n">
        <f aca="false">Tasks[[#This Row],[_LeafBudget]]*Tasks[[#This Row],[_LeafProgress]]</f>
        <v>0</v>
      </c>
      <c r="EJ203" s="41" t="n">
        <f aca="false">IF(NOT(Tasks[[#This Row],[_IsLeaf]]=1),0,IF(Tasks[[#This Row],[Actual Cost]]="",Tasks[[#This Row],[_LeafTotalCost]]*Tasks[[#This Row],[_LeafProgress]],N(Tasks[[#This Row],[Actual Cost]])))</f>
        <v>0</v>
      </c>
      <c r="EK203" s="41" t="str">
        <f aca="false">IF(Tasks[[#This Row],[Task Name]]="","",LEFT(Tasks[[#This Row],[WBS]],FIND(".",Tasks[[#This Row],[WBS]]&amp;".")-1))</f>
        <v/>
      </c>
      <c r="EL203" s="41" t="str">
        <f aca="false">IF(AND(Tasks[[#This Row],[Task Name]]&lt;&gt;"",Tasks[[#This Row],[_Level]]=1),Tasks[[#This Row],[_Row]],"")</f>
        <v/>
      </c>
      <c r="EM203" s="41" t="str">
        <f aca="false">IF(AND(Tasks[[#This Row],[_IsLeaf]]=1,N(Tasks[[#This Row],[Duration]])=0),Tasks[[#This Row],[Planned Finish]]+Tasks[[#This Row],[_Row]]/100000,"")</f>
        <v/>
      </c>
      <c r="EN203" s="41" t="str">
        <f aca="false">IF(AND(Tasks[[#This Row],[_IsLeaf]]=1,Tasks[[#This Row],[_LeafProgress]]&lt;1,OR(N(Tasks[[#This Row],[Finish Var]])&gt;0,Tasks[[#This Row],[Status]]="Late Start")),MAX(0,Tasks[[#This Row],[Finish Var]])+1-Tasks[[#This Row],[_Row]]/1000000,"")</f>
        <v/>
      </c>
      <c r="EO203" s="41" t="str">
        <f aca="false">IF(AND(Tasks[[#This Row],[_IsLeaf]]=1,N(Tasks[[#This Row],[Actual Start]])=0,Tasks[[#This Row],[_ShownFcstStart]]&gt;=StatusDate,Tasks[[#This Row],[_ShownFcstStart]]&lt;=LookaheadEnd),Tasks[[#This Row],[_ShownFcstStart]]+Tasks[[#This Row],[_Row]]/100000,"")</f>
        <v/>
      </c>
      <c r="EP203" s="41" t="str">
        <f aca="false">IF(AND(Tasks[[#This Row],[_IsLeaf]]=1,Tasks[[#This Row],[_LeafProgress]]&lt;1,Tasks[[#This Row],[_ShownFcstFinish]]&gt;=StatusDate,Tasks[[#This Row],[_ShownFcstFinish]]&lt;=LookaheadEnd),Tasks[[#This Row],[_ShownFcstFinish]]+Tasks[[#This Row],[_Row]]/100000,"")</f>
        <v/>
      </c>
      <c r="EQ203" s="41" t="str">
        <f aca="false">IF(Tasks[[#This Row],[_LeafCritical]],Tasks[[#This Row],[_ShownFcstStart]]+Tasks[[#This Row],[_Row]]/100000,"")</f>
        <v/>
      </c>
      <c r="ER203" s="41" t="n">
        <f aca="false">Tasks[[#This Row],[_LeafWork]]*Tasks[[#This Row],[_LeafProgress]]</f>
        <v>0</v>
      </c>
      <c r="ES203" s="101" t="str">
        <f aca="false">IF(AND(Tasks[[#This Row],[_IsLeaf]]=1,Tasks[[#This Row],[_LeafProgress]]&gt;=1),IF(N(Tasks[[#This Row],[Actual Finish]])&gt;0,Tasks[[#This Row],[Actual Finish]],Tasks[[#This Row],[_ShownFcstFinish]]),"")</f>
        <v/>
      </c>
      <c r="ET203" s="41" t="n">
        <f aca="false">IF(Tasks[[#This Row],[_IsLeaf]]=1,N(Tasks[[#This Row],[Story Points]]),0)</f>
        <v>0</v>
      </c>
      <c r="EU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29"/>
      <c r="O204" s="29"/>
      <c r="P204" s="29"/>
      <c r="Q204" s="29"/>
      <c r="R204" s="29"/>
      <c r="S204" s="29"/>
      <c r="T204" s="30"/>
      <c r="U204" s="75"/>
      <c r="V204" s="75"/>
      <c r="W204" s="25" t="str">
        <f aca="false">IF(Tasks[[#This Row],[Task Name]]="","",IF(N(Tasks[[#This Row],[Baseline Start]])&gt;0,Tasks[[#This Row],[Baseline Start]],Tasks[[#This Row],[_CalcStart]]))</f>
        <v/>
      </c>
      <c r="X204" s="25" t="str">
        <f aca="false">IF(Tasks[[#This Row],[Task Name]]="","",IF(N(Tasks[[#This Row],[Baseline Finish]])&gt;0,Tasks[[#This Row],[Baseline Finish]],Tasks[[#This Row],[_CalcFinish]]))</f>
        <v/>
      </c>
      <c r="Y204" s="75"/>
      <c r="Z204" s="75"/>
      <c r="AA204" s="25" t="str">
        <f aca="false">IF(Tasks[[#This Row],[Task Name]]="","",IF(Tasks[[#This Row],[_IsSummary]],MIN(INDEX(Tasks[_ShownFcstStart],Tasks[[#This Row],[_Row]]+1):INDEX(Tasks[_ShownFcstStart],Tasks[[#This Row],[_Row]]+Tasks[[#This Row],[_Descendants]])),Tasks[[#This Row],[_ShownFcstStart]]))</f>
        <v/>
      </c>
      <c r="AB204" s="25" t="str">
        <f aca="false">IF(Tasks[[#This Row],[Task Name]]="","",IF(Tasks[[#This Row],[_IsSummary]],MAX(INDEX(Tasks[_ShownFcstFinish],Tasks[[#This Row],[_Row]]+1):INDEX(Tasks[_ShownFcstFinish],Tasks[[#This Row],[_Row]]+Tasks[[#This Row],[_Descendants]])),Tasks[[#This Row],[_ShownFcstFinish]]))</f>
        <v/>
      </c>
      <c r="AC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4" s="25" t="str">
        <f aca="false">IF(Tasks[[#This Row],[Task Name]]="","",IF(Tasks[[#This Row],[_IsSummary]],MIN(INDEX(Tasks[_LeafLateStart],Tasks[[#This Row],[_Row]]+1):INDEX(Tasks[_LeafLateStart],Tasks[[#This Row],[_Row]]+Tasks[[#This Row],[_Descendants]])),Tasks[[#This Row],[_LeafLateStart]]))</f>
        <v/>
      </c>
      <c r="AF204" s="25" t="str">
        <f aca="false">IF(Tasks[[#This Row],[Task Name]]="","",IF(Tasks[[#This Row],[_IsSummary]],MAX(INDEX(Tasks[_LeafLateFinish],Tasks[[#This Row],[_Row]]+1):INDEX(Tasks[_LeafLateFinish],Tasks[[#This Row],[_Row]]+Tasks[[#This Row],[_Descendants]])),Tasks[[#This Row],[_LeafLateFinish]]))</f>
        <v/>
      </c>
      <c r="AG204" s="28" t="str">
        <f aca="false">IF(Tasks[[#This Row],[Task Name]]="","",IF(Tasks[[#This Row],[_IsSummary]],MIN(INDEX(Tasks[_LeafTotalSlack],Tasks[[#This Row],[_Row]]+1):INDEX(Tasks[_LeafTotalSlack],Tasks[[#This Row],[_Row]]+Tasks[[#This Row],[_Descendants]])),Tasks[[#This Row],[_LeafTotalSlack]]))</f>
        <v/>
      </c>
      <c r="AH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4" s="28" t="str">
        <f aca="false">IF(Tasks[[#This Row],[Task Name]]="","",IF(IF(Tasks[[#This Row],[_IsSummary]],COUNTIF(INDEX(Tasks[_LeafCritical],Tasks[[#This Row],[_Row]]+1):INDEX(Tasks[_LeafCritical],Tasks[[#This Row],[_Row]]+Tasks[[#This Row],[_Descendants]]),TRUE())&gt;0,Tasks[[#This Row],[_LeafCritical]]),"Yes",""))</f>
        <v/>
      </c>
      <c r="AJ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4" s="89"/>
      <c r="AM2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4" s="28" t="str">
        <f aca="false">IF(Tasks[[#This Row],[Task Name]]="","",IF(Tasks[[#This Row],[Progress]]&gt;=1,"Complete",IF(OR(N(Tasks[[#This Row],[Actual Start]])&gt;0,Tasks[[#This Row],[Progress]]&gt;0),IF(Tasks[[#This Row],[Finish Var]]&gt;0,"Behind","In Progress"),IF(Tasks[[#This Row],[Planned Start]]&lt;StatusDate,"Late Start","Not Started"))))</f>
        <v/>
      </c>
      <c r="AO204" s="30"/>
      <c r="AP204" s="89"/>
      <c r="AQ2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4" s="96" t="str">
        <f aca="false">IF(Tasks[[#This Row],[Task Name]]="","",IF(Tasks[[#This Row],[_IsSummary]],SUM(INDEX(Tasks[_LeafTotalWork],Tasks[[#This Row],[_Row]]+1):INDEX(Tasks[_LeafTotalWork],Tasks[[#This Row],[_Row]]+Tasks[[#This Row],[_Descendants]])),Tasks[[#This Row],[_LeafTotalWork]]))</f>
        <v/>
      </c>
      <c r="AT204" s="97" t="str">
        <f aca="false">IF(Tasks[[#This Row],[Task Name]]="","",IF(Tasks[[#This Row],[_IsSummary]],SUM(INDEX(Tasks[_LeafTotalCost],Tasks[[#This Row],[_Row]]+1):INDEX(Tasks[_LeafTotalCost],Tasks[[#This Row],[_Row]]+Tasks[[#This Row],[_Descendants]])),Tasks[[#This Row],[_LeafTotalCost]]))</f>
        <v/>
      </c>
      <c r="AU204" s="98"/>
      <c r="AV204" s="29"/>
      <c r="AW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4" s="83"/>
      <c r="AY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4" s="30"/>
      <c r="BA204" s="25" t="str">
        <f aca="false">IF(Tasks[[#This Row],[Task Name]]="","",Tasks[[#This Row],[Forecast Start]])</f>
        <v/>
      </c>
      <c r="BB204" s="25" t="str">
        <f aca="false">IF(Tasks[[#This Row],[Task Name]]="","",Tasks[[#This Row],[Forecast Finish]])</f>
        <v/>
      </c>
      <c r="BC204" s="28" t="str">
        <f aca="false">IF(Tasks[[#This Row],[Task Name]]="","",IF(Tasks[[#This Row],[_IsSummary]],NETWORKDAYS.INTL(Tasks[[#This Row],[Forecast Start]],Tasks[[#This Row],[Forecast Finish]],WorkWeek,Holidays),N(Tasks[[#This Row],[Duration]])))</f>
        <v/>
      </c>
      <c r="BD204" s="96" t="str">
        <f aca="false">IF(Tasks[[#This Row],[Task Name]]="","",Tasks[[#This Row],[Work]])</f>
        <v/>
      </c>
      <c r="BE204" s="97" t="str">
        <f aca="false">IF(Tasks[[#This Row],[Task Name]]="","",Tasks[[#This Row],[Cost]])</f>
        <v/>
      </c>
      <c r="BF204" s="75"/>
      <c r="BG204" s="75"/>
      <c r="BH204" s="29"/>
      <c r="BI204" s="99"/>
      <c r="BJ204" s="98"/>
      <c r="BK204" s="28" t="str">
        <f aca="false">IF(OR(Tasks[[#This Row],[Task Name]]="",Tasks[[#This Row],[Baseline Duration]]=""),"",Tasks[[#This Row],[BL Source Duration]]-N(Tasks[[#This Row],[Baseline Duration]]))</f>
        <v/>
      </c>
      <c r="BL204" s="96" t="str">
        <f aca="false">IF(OR(Tasks[[#This Row],[Task Name]]="",Tasks[[#This Row],[Baseline Work]]=""),"",Tasks[[#This Row],[Work]]-N(Tasks[[#This Row],[Baseline Work]]))</f>
        <v/>
      </c>
      <c r="BM204" s="97" t="str">
        <f aca="false">IF(OR(Tasks[[#This Row],[Task Name]]="",Tasks[[#This Row],[Baseline Cost]]=""),"",Tasks[[#This Row],[Cost]]-N(Tasks[[#This Row],[Baseline Cost]]))</f>
        <v/>
      </c>
      <c r="BN204" s="97" t="str">
        <f aca="false">IF(Tasks[[#This Row],[Task Name]]="","",IF(Tasks[[#This Row],[_IsSummary]],SUM(INDEX(Tasks[_LeafBudget],Tasks[[#This Row],[_Row]]+1):INDEX(Tasks[_LeafBudget],Tasks[[#This Row],[_Row]]+Tasks[[#This Row],[_Descendants]])),Tasks[[#This Row],[_LeafBudget]]))</f>
        <v/>
      </c>
      <c r="BO204" s="97" t="str">
        <f aca="false">IF(Tasks[[#This Row],[Task Name]]="","",IF(Tasks[[#This Row],[_IsSummary]],SUM(INDEX(Tasks[_LeafPV],Tasks[[#This Row],[_Row]]+1):INDEX(Tasks[_LeafPV],Tasks[[#This Row],[_Row]]+Tasks[[#This Row],[_Descendants]])),Tasks[[#This Row],[_LeafPV]]))</f>
        <v/>
      </c>
      <c r="BP204" s="97" t="str">
        <f aca="false">IF(Tasks[[#This Row],[Task Name]]="","",IF(Tasks[[#This Row],[_IsSummary]],SUM(INDEX(Tasks[_LeafEV],Tasks[[#This Row],[_Row]]+1):INDEX(Tasks[_LeafEV],Tasks[[#This Row],[_Row]]+Tasks[[#This Row],[_Descendants]])),Tasks[[#This Row],[_LeafEV]]))</f>
        <v/>
      </c>
      <c r="BQ204" s="97" t="str">
        <f aca="false">IF(Tasks[[#This Row],[Task Name]]="","",IF(Tasks[[#This Row],[_IsSummary]],SUM(INDEX(Tasks[_LeafAC],Tasks[[#This Row],[_Row]]+1):INDEX(Tasks[_LeafAC],Tasks[[#This Row],[_Row]]+Tasks[[#This Row],[_Descendants]])),Tasks[[#This Row],[_LeafAC]]))</f>
        <v/>
      </c>
      <c r="BR204" s="41" t="str">
        <f aca="false">IF(Tasks[[#This Row],[Task Name]]="","",MAX(1,N(Tasks[[#This Row],[Level]])))</f>
        <v/>
      </c>
      <c r="BS204" s="41" t="n">
        <f aca="false">ROW()-ROW(Tasks[[#Headers],[ID]])</f>
        <v>199</v>
      </c>
      <c r="BT204" s="41" t="n">
        <f aca="false">IF(OR(Tasks[[#This Row],[Task Name]]="",Tasks[[#This Row],[_Level]]&lt;=1),0,IFERROR(LOOKUP(2,1/(Tasks[[#Headers],[_Level]]:Tasks[[#This Row],[_Level]]=Tasks[[#This Row],[_Level]]-1),ROW(Tasks[[#Headers],[_Level]]:Tasks[[#This Row],[_Level]])),0))</f>
        <v>0</v>
      </c>
      <c r="BU204" s="41" t="n">
        <f aca="false">IFERROR(N(INDEX(Tasks[_Level],Tasks[[#This Row],[_Row]]+1)),0)</f>
        <v>0</v>
      </c>
      <c r="BV204" s="100" t="b">
        <f aca="false">AND(Tasks[[#This Row],[Task Name]]&lt;&gt;"",Tasks[[#This Row],[_NextLevel]]&gt;Tasks[[#This Row],[_Level]])</f>
        <v>0</v>
      </c>
      <c r="BW204" s="41" t="n">
        <f aca="false">IF(Tasks[[#This Row],[_IsSummary]],COUNTIF(Tasks[WBS],Tasks[[#This Row],[WBS]]&amp;".*"),0)</f>
        <v>0</v>
      </c>
      <c r="BX204" s="41" t="n">
        <f aca="false">IF(AND(Tasks[[#This Row],[Task Name]]&lt;&gt;"",NOT(Tasks[[#This Row],[_IsSummary]])),1,0)</f>
        <v>0</v>
      </c>
      <c r="BY204" s="41" t="n">
        <f aca="false">IF(N(Tasks[[#This Row],[Pred1 UID]])=0,0,IFERROR(MATCH(Tasks[[#This Row],[Pred1 UID]],Tasks[UID],0),-1))</f>
        <v>0</v>
      </c>
      <c r="BZ204" s="41" t="n">
        <f aca="false">IF(N(Tasks[[#This Row],[Pred2 UID]])=0,0,IFERROR(MATCH(Tasks[[#This Row],[Pred2 UID]],Tasks[UID],0),-1))</f>
        <v>0</v>
      </c>
      <c r="CA204" s="41" t="n">
        <f aca="false">IF(N(Tasks[[#This Row],[Pred3 UID]])=0,0,IFERROR(MATCH(Tasks[[#This Row],[Pred3 UID]],Tasks[UID],0),-1))</f>
        <v>0</v>
      </c>
      <c r="CB204" s="41" t="n">
        <f aca="false">IF(N(Tasks[[#This Row],[Pred4 UID]])=0,0,IFERROR(MATCH(Tasks[[#This Row],[Pred4 UID]],Tasks[UID],0),-1))</f>
        <v>0</v>
      </c>
      <c r="CC2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4" s="101" t="n">
        <f aca="false">IF(OR(Tasks[[#This Row],[_ConstraintCode]]=2,Tasks[[#This Row],[_ConstraintCode]]=3,Tasks[[#This Row],[_ConstraintCode]]=4,Tasks[[#This Row],[_ConstraintCode]]=6),Tasks[[#This Row],[_ConstraintStart]],0)</f>
        <v>0</v>
      </c>
      <c r="CF204" s="101" t="n">
        <f aca="false">IF(OR(Tasks[[#This Row],[_ConstraintCode]]=2,Tasks[[#This Row],[_ConstraintCode]]=3,Tasks[[#This Row],[_ConstraintCode]]=5,Tasks[[#This Row],[_ConstraintCode]]=7),Tasks[[#This Row],[_ConstraintStart]],2958465)</f>
        <v>2958465</v>
      </c>
      <c r="CG20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4" s="101" t="str">
        <f aca="false">IF(NOT(Tasks[[#This Row],[_IsLeaf]]=1),"",IF(N(Tasks[[#This Row],[Duration]])&lt;=0,Tasks[[#This Row],[_LeafCalcStart]],WORKDAY.INTL(Tasks[[#This Row],[_LeafCalcStart]],Tasks[[#This Row],[Duration]]-1,WorkWeek,Holidays)))</f>
        <v/>
      </c>
      <c r="CI20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4" s="41" t="n">
        <f aca="false">IF(NOT(Tasks[[#This Row],[_IsLeaf]]=1),0,IF(N(Tasks[[#This Row],[Actual Finish]])&gt;0,1,MIN(1,N(Tasks[[#This Row],[% Complete]]))))</f>
        <v>0</v>
      </c>
      <c r="CL204" s="41" t="n">
        <f aca="false">IF(OR(NOT(Tasks[[#This Row],[_IsLeaf]]=1),Tasks[[#This Row],[Resource]]=""),0,N(Tasks[[#This Row],[Duration]])*HoursPerDay*IF(Tasks[[#This Row],[Units]]="",DefaultUnits,Tasks[[#This Row],[Units]]))</f>
        <v>0</v>
      </c>
      <c r="CM204" s="41" t="n">
        <f aca="false">IF(Tasks[[#This Row],[_LeafWork]]=0,0,Tasks[[#This Row],[_LeafWork]]*IFERROR(INDEX(res_Rate,MATCH(Tasks[[#This Row],[Resource]],res_Name,0)),0))</f>
        <v>0</v>
      </c>
      <c r="CN204" s="41" t="n">
        <f aca="false">Tasks[[#This Row],[_LeafWork]]+IF(Tasks[[#This Row],[_IsLeaf]]=1,SUMIFS(asg_Work,asg_TaskUID,Tasks[[#This Row],[UID]],asg_Valid,1),0)</f>
        <v>0</v>
      </c>
      <c r="CO204" s="41" t="n">
        <f aca="false">Tasks[[#This Row],[_LeafCost]]+IF(Tasks[[#This Row],[_IsLeaf]]=1,SUMIFS(asg_Cost,asg_TaskUID,Tasks[[#This Row],[UID]],asg_Valid,1),0)</f>
        <v>0</v>
      </c>
      <c r="CP204" s="41" t="n">
        <f aca="false">IF(Tasks[[#This Row],[_LeafTotalCost]]=0,Tasks[[#This Row],[_LeafAC]],Tasks[[#This Row],[_LeafAC]]*Tasks[[#This Row],[_LeafCost]]/Tasks[[#This Row],[_LeafTotalCost]])</f>
        <v>0</v>
      </c>
      <c r="CQ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4" s="41" t="n">
        <f aca="false">IF(NOT(Tasks[[#This Row],[_IsLeaf]]=1),0,MAX(_xlfn.MAXIFS(Tasks[_Row],Tasks[Pred1 UID],Tasks[[#This Row],[UID]]),_xlfn.MAXIFS(Tasks[_Row],Tasks[Pred2 UID],Tasks[[#This Row],[UID]]),_xlfn.MAXIFS(Tasks[_Row],Tasks[Pred3 UID],Tasks[[#This Row],[UID]]),_xlfn.MAXIFS(Tasks[_Row],Tasks[Pred4 UID],Tasks[[#This Row],[UID]])))</f>
        <v>0</v>
      </c>
      <c r="CZ2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4" s="101" t="str">
        <f aca="false">IF(NOT(Tasks[[#This Row],[_IsLeaf]]=1),"",IF(N(Tasks[[#This Row],[Duration]])&lt;=0,Tasks[[#This Row],[_LeafLateFinish]],WORKDAY.INTL(Tasks[[#This Row],[_LeafLateFinish]],-(Tasks[[#This Row],[Duration]]-1),WorkWeek,Holidays)))</f>
        <v/>
      </c>
      <c r="DC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4" s="100" t="b">
        <f aca="false">AND(Tasks[[#This Row],[_IsLeaf]]=1,Tasks[[#This Row],[_LeafProgress]]&lt;1,N(Tasks[[#This Row],[_LeafTotalSlack]])&lt;=CriticalSlackDays)</f>
        <v>0</v>
      </c>
      <c r="DE204" s="41" t="n">
        <f aca="false">IF(AND(Tasks[[#This Row],[_IsLeaf]]=1,Tasks[[#This Row],[_ConstraintCode]]=1,Tasks[[#This Row],[Mode]]&lt;&gt;"Manual",N(Tasks[[#This Row],[Actual Start]])=0),MAX(0,N(Tasks[[#This Row],[Free Slack]])),0)</f>
        <v>0</v>
      </c>
      <c r="DF204" s="101" t="str">
        <f aca="false">IF(NOT(Tasks[[#This Row],[_IsLeaf]]=1),"",IF(Tasks[[#This Row],[_AlapShift]]=0,Tasks[[#This Row],[_LeafCalcStart]],WORKDAY.INTL(Tasks[[#This Row],[_LeafCalcStart]],Tasks[[#This Row],[_AlapShift]],WorkWeek,Holidays)))</f>
        <v/>
      </c>
      <c r="DG204" s="101" t="str">
        <f aca="false">IF(NOT(Tasks[[#This Row],[_IsLeaf]]=1),"",IF(Tasks[[#This Row],[_AlapShift]]=0,Tasks[[#This Row],[_LeafCalcFinish]],WORKDAY.INTL(Tasks[[#This Row],[_LeafCalcFinish]],Tasks[[#This Row],[_AlapShift]],WorkWeek,Holidays)))</f>
        <v/>
      </c>
      <c r="DH204" s="101" t="str">
        <f aca="false">IF(NOT(Tasks[[#This Row],[_IsLeaf]]=1),"",IF(Tasks[[#This Row],[_AlapShift]]=0,Tasks[[#This Row],[_LeafFcstStart]],WORKDAY.INTL(Tasks[[#This Row],[_LeafFcstStart]],Tasks[[#This Row],[_AlapShift]],WorkWeek,Holidays)))</f>
        <v/>
      </c>
      <c r="DI204" s="101" t="str">
        <f aca="false">IF(NOT(Tasks[[#This Row],[_IsLeaf]]=1),"",IF(Tasks[[#This Row],[_AlapShift]]=0,Tasks[[#This Row],[_LeafFcstFinish]],WORKDAY.INTL(Tasks[[#This Row],[_LeafFcstFinish]],Tasks[[#This Row],[_AlapShift]],WorkWeek,Holidays)))</f>
        <v/>
      </c>
      <c r="DJ204" s="101" t="str">
        <f aca="false">IF(Tasks[[#This Row],[Task Name]]="","",IF(Tasks[[#This Row],[_IsSummary]],MIN(INDEX(Tasks[_ShownCalcStart],Tasks[[#This Row],[_Row]]+1):INDEX(Tasks[_ShownCalcStart],Tasks[[#This Row],[_Row]]+Tasks[[#This Row],[_Descendants]])),Tasks[[#This Row],[_ShownCalcStart]]))</f>
        <v/>
      </c>
      <c r="DK204" s="101" t="str">
        <f aca="false">IF(Tasks[[#This Row],[Task Name]]="","",IF(Tasks[[#This Row],[_IsSummary]],MAX(INDEX(Tasks[_ShownCalcFinish],Tasks[[#This Row],[_Row]]+1):INDEX(Tasks[_ShownCalcFinish],Tasks[[#This Row],[_Row]]+Tasks[[#This Row],[_Descendants]])),Tasks[[#This Row],[_ShownCalcFinish]]))</f>
        <v/>
      </c>
      <c r="D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4" s="41" t="n">
        <f aca="false">IF(AND(Tasks[[#This Row],[_IsLeaf]]=1,Tasks[[#This Row],[_LeafTotalWork]]&gt;0),NETWORKDAYS.INTL(ProjectStart,Tasks[[#This Row],[_ShownFcstStart]],WorkWeek,Holidays),0)</f>
        <v>0</v>
      </c>
      <c r="DY204" s="41" t="n">
        <f aca="false">IF(AND(Tasks[[#This Row],[_IsLeaf]]=1,Tasks[[#This Row],[_LeafTotalWork]]&gt;0),MAX(Tasks[[#This Row],[_StartWorkday]],NETWORKDAYS.INTL(ProjectStart,Tasks[[#This Row],[_ShownFcstFinish]],WorkWeek,Holidays)),0)</f>
        <v>0</v>
      </c>
      <c r="DZ204" s="41" t="n">
        <f aca="false">IF(AND(Tasks[[#This Row],[_IsLeaf]]=1,Tasks[[#This Row],[_LeafTotalWork]]&gt;0),Tasks[[#This Row],[_LeafWork]]/(Tasks[[#This Row],[_FinishWorkday]]-Tasks[[#This Row],[_StartWorkday]]+1),0)</f>
        <v>0</v>
      </c>
      <c r="EA204" s="41" t="n">
        <f aca="false">Tasks[[#This Row],[_WorkPerWorkday]]*(Tasks[[#This Row],[_StartWorkday]]-1)</f>
        <v>-0</v>
      </c>
      <c r="EB204" s="41" t="n">
        <f aca="false">IF(Tasks[[#This Row],[_IsLeaf]]=1,MAX(N(Tasks[[#This Row],[Duration]]),0.1),0)</f>
        <v>0</v>
      </c>
      <c r="EC204" s="41" t="n">
        <f aca="false">Tasks[[#This Row],[_WeightDur]]*Tasks[[#This Row],[_LeafProgress]]</f>
        <v>0</v>
      </c>
      <c r="ED2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4" s="41" t="str">
        <f aca="false">IF(AND(Tasks[[#This Row],[_IsLeaf]]=1,N(Tasks[[#This Row],[Duration]])=0,Tasks[[#This Row],[_LeafProgress]]&lt;1),Tasks[[#This Row],[_ShownFcstFinish]]+Tasks[[#This Row],[_Row]]/100000,"")</f>
        <v/>
      </c>
      <c r="EF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4" s="41" t="n">
        <f aca="false">IF(NOT(Tasks[[#This Row],[_IsLeaf]]=1),0,IF(Tasks[[#This Row],[Baseline Cost]]="",Tasks[[#This Row],[_LeafTotalCost]],N(Tasks[[#This Row],[Baseline Cost]])))</f>
        <v>0</v>
      </c>
      <c r="EH204" s="41" t="n">
        <f aca="false">Tasks[[#This Row],[_LeafBudget]]*Tasks[[#This Row],[_PlannedPct]]</f>
        <v>0</v>
      </c>
      <c r="EI204" s="41" t="n">
        <f aca="false">Tasks[[#This Row],[_LeafBudget]]*Tasks[[#This Row],[_LeafProgress]]</f>
        <v>0</v>
      </c>
      <c r="EJ204" s="41" t="n">
        <f aca="false">IF(NOT(Tasks[[#This Row],[_IsLeaf]]=1),0,IF(Tasks[[#This Row],[Actual Cost]]="",Tasks[[#This Row],[_LeafTotalCost]]*Tasks[[#This Row],[_LeafProgress]],N(Tasks[[#This Row],[Actual Cost]])))</f>
        <v>0</v>
      </c>
      <c r="EK204" s="41" t="str">
        <f aca="false">IF(Tasks[[#This Row],[Task Name]]="","",LEFT(Tasks[[#This Row],[WBS]],FIND(".",Tasks[[#This Row],[WBS]]&amp;".")-1))</f>
        <v/>
      </c>
      <c r="EL204" s="41" t="str">
        <f aca="false">IF(AND(Tasks[[#This Row],[Task Name]]&lt;&gt;"",Tasks[[#This Row],[_Level]]=1),Tasks[[#This Row],[_Row]],"")</f>
        <v/>
      </c>
      <c r="EM204" s="41" t="str">
        <f aca="false">IF(AND(Tasks[[#This Row],[_IsLeaf]]=1,N(Tasks[[#This Row],[Duration]])=0),Tasks[[#This Row],[Planned Finish]]+Tasks[[#This Row],[_Row]]/100000,"")</f>
        <v/>
      </c>
      <c r="EN204" s="41" t="str">
        <f aca="false">IF(AND(Tasks[[#This Row],[_IsLeaf]]=1,Tasks[[#This Row],[_LeafProgress]]&lt;1,OR(N(Tasks[[#This Row],[Finish Var]])&gt;0,Tasks[[#This Row],[Status]]="Late Start")),MAX(0,Tasks[[#This Row],[Finish Var]])+1-Tasks[[#This Row],[_Row]]/1000000,"")</f>
        <v/>
      </c>
      <c r="EO204" s="41" t="str">
        <f aca="false">IF(AND(Tasks[[#This Row],[_IsLeaf]]=1,N(Tasks[[#This Row],[Actual Start]])=0,Tasks[[#This Row],[_ShownFcstStart]]&gt;=StatusDate,Tasks[[#This Row],[_ShownFcstStart]]&lt;=LookaheadEnd),Tasks[[#This Row],[_ShownFcstStart]]+Tasks[[#This Row],[_Row]]/100000,"")</f>
        <v/>
      </c>
      <c r="EP204" s="41" t="str">
        <f aca="false">IF(AND(Tasks[[#This Row],[_IsLeaf]]=1,Tasks[[#This Row],[_LeafProgress]]&lt;1,Tasks[[#This Row],[_ShownFcstFinish]]&gt;=StatusDate,Tasks[[#This Row],[_ShownFcstFinish]]&lt;=LookaheadEnd),Tasks[[#This Row],[_ShownFcstFinish]]+Tasks[[#This Row],[_Row]]/100000,"")</f>
        <v/>
      </c>
      <c r="EQ204" s="41" t="str">
        <f aca="false">IF(Tasks[[#This Row],[_LeafCritical]],Tasks[[#This Row],[_ShownFcstStart]]+Tasks[[#This Row],[_Row]]/100000,"")</f>
        <v/>
      </c>
      <c r="ER204" s="41" t="n">
        <f aca="false">Tasks[[#This Row],[_LeafWork]]*Tasks[[#This Row],[_LeafProgress]]</f>
        <v>0</v>
      </c>
      <c r="ES204" s="101" t="str">
        <f aca="false">IF(AND(Tasks[[#This Row],[_IsLeaf]]=1,Tasks[[#This Row],[_LeafProgress]]&gt;=1),IF(N(Tasks[[#This Row],[Actual Finish]])&gt;0,Tasks[[#This Row],[Actual Finish]],Tasks[[#This Row],[_ShownFcstFinish]]),"")</f>
        <v/>
      </c>
      <c r="ET204" s="41" t="n">
        <f aca="false">IF(Tasks[[#This Row],[_IsLeaf]]=1,N(Tasks[[#This Row],[Story Points]]),0)</f>
        <v>0</v>
      </c>
      <c r="EU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29"/>
      <c r="O205" s="29"/>
      <c r="P205" s="29"/>
      <c r="Q205" s="29"/>
      <c r="R205" s="29"/>
      <c r="S205" s="29"/>
      <c r="T205" s="30"/>
      <c r="U205" s="75"/>
      <c r="V205" s="75"/>
      <c r="W205" s="25" t="str">
        <f aca="false">IF(Tasks[[#This Row],[Task Name]]="","",IF(N(Tasks[[#This Row],[Baseline Start]])&gt;0,Tasks[[#This Row],[Baseline Start]],Tasks[[#This Row],[_CalcStart]]))</f>
        <v/>
      </c>
      <c r="X205" s="25" t="str">
        <f aca="false">IF(Tasks[[#This Row],[Task Name]]="","",IF(N(Tasks[[#This Row],[Baseline Finish]])&gt;0,Tasks[[#This Row],[Baseline Finish]],Tasks[[#This Row],[_CalcFinish]]))</f>
        <v/>
      </c>
      <c r="Y205" s="75"/>
      <c r="Z205" s="75"/>
      <c r="AA205" s="25" t="str">
        <f aca="false">IF(Tasks[[#This Row],[Task Name]]="","",IF(Tasks[[#This Row],[_IsSummary]],MIN(INDEX(Tasks[_ShownFcstStart],Tasks[[#This Row],[_Row]]+1):INDEX(Tasks[_ShownFcstStart],Tasks[[#This Row],[_Row]]+Tasks[[#This Row],[_Descendants]])),Tasks[[#This Row],[_ShownFcstStart]]))</f>
        <v/>
      </c>
      <c r="AB205" s="25" t="str">
        <f aca="false">IF(Tasks[[#This Row],[Task Name]]="","",IF(Tasks[[#This Row],[_IsSummary]],MAX(INDEX(Tasks[_ShownFcstFinish],Tasks[[#This Row],[_Row]]+1):INDEX(Tasks[_ShownFcstFinish],Tasks[[#This Row],[_Row]]+Tasks[[#This Row],[_Descendants]])),Tasks[[#This Row],[_ShownFcstFinish]]))</f>
        <v/>
      </c>
      <c r="AC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5" s="25" t="str">
        <f aca="false">IF(Tasks[[#This Row],[Task Name]]="","",IF(Tasks[[#This Row],[_IsSummary]],MIN(INDEX(Tasks[_LeafLateStart],Tasks[[#This Row],[_Row]]+1):INDEX(Tasks[_LeafLateStart],Tasks[[#This Row],[_Row]]+Tasks[[#This Row],[_Descendants]])),Tasks[[#This Row],[_LeafLateStart]]))</f>
        <v/>
      </c>
      <c r="AF205" s="25" t="str">
        <f aca="false">IF(Tasks[[#This Row],[Task Name]]="","",IF(Tasks[[#This Row],[_IsSummary]],MAX(INDEX(Tasks[_LeafLateFinish],Tasks[[#This Row],[_Row]]+1):INDEX(Tasks[_LeafLateFinish],Tasks[[#This Row],[_Row]]+Tasks[[#This Row],[_Descendants]])),Tasks[[#This Row],[_LeafLateFinish]]))</f>
        <v/>
      </c>
      <c r="AG205" s="28" t="str">
        <f aca="false">IF(Tasks[[#This Row],[Task Name]]="","",IF(Tasks[[#This Row],[_IsSummary]],MIN(INDEX(Tasks[_LeafTotalSlack],Tasks[[#This Row],[_Row]]+1):INDEX(Tasks[_LeafTotalSlack],Tasks[[#This Row],[_Row]]+Tasks[[#This Row],[_Descendants]])),Tasks[[#This Row],[_LeafTotalSlack]]))</f>
        <v/>
      </c>
      <c r="AH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5" s="28" t="str">
        <f aca="false">IF(Tasks[[#This Row],[Task Name]]="","",IF(IF(Tasks[[#This Row],[_IsSummary]],COUNTIF(INDEX(Tasks[_LeafCritical],Tasks[[#This Row],[_Row]]+1):INDEX(Tasks[_LeafCritical],Tasks[[#This Row],[_Row]]+Tasks[[#This Row],[_Descendants]]),TRUE())&gt;0,Tasks[[#This Row],[_LeafCritical]]),"Yes",""))</f>
        <v/>
      </c>
      <c r="AJ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5" s="89"/>
      <c r="AM2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5" s="28" t="str">
        <f aca="false">IF(Tasks[[#This Row],[Task Name]]="","",IF(Tasks[[#This Row],[Progress]]&gt;=1,"Complete",IF(OR(N(Tasks[[#This Row],[Actual Start]])&gt;0,Tasks[[#This Row],[Progress]]&gt;0),IF(Tasks[[#This Row],[Finish Var]]&gt;0,"Behind","In Progress"),IF(Tasks[[#This Row],[Planned Start]]&lt;StatusDate,"Late Start","Not Started"))))</f>
        <v/>
      </c>
      <c r="AO205" s="30"/>
      <c r="AP205" s="89"/>
      <c r="AQ2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5" s="96" t="str">
        <f aca="false">IF(Tasks[[#This Row],[Task Name]]="","",IF(Tasks[[#This Row],[_IsSummary]],SUM(INDEX(Tasks[_LeafTotalWork],Tasks[[#This Row],[_Row]]+1):INDEX(Tasks[_LeafTotalWork],Tasks[[#This Row],[_Row]]+Tasks[[#This Row],[_Descendants]])),Tasks[[#This Row],[_LeafTotalWork]]))</f>
        <v/>
      </c>
      <c r="AT205" s="97" t="str">
        <f aca="false">IF(Tasks[[#This Row],[Task Name]]="","",IF(Tasks[[#This Row],[_IsSummary]],SUM(INDEX(Tasks[_LeafTotalCost],Tasks[[#This Row],[_Row]]+1):INDEX(Tasks[_LeafTotalCost],Tasks[[#This Row],[_Row]]+Tasks[[#This Row],[_Descendants]])),Tasks[[#This Row],[_LeafTotalCost]]))</f>
        <v/>
      </c>
      <c r="AU205" s="98"/>
      <c r="AV205" s="29"/>
      <c r="AW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5" s="83"/>
      <c r="AY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5" s="30"/>
      <c r="BA205" s="25" t="str">
        <f aca="false">IF(Tasks[[#This Row],[Task Name]]="","",Tasks[[#This Row],[Forecast Start]])</f>
        <v/>
      </c>
      <c r="BB205" s="25" t="str">
        <f aca="false">IF(Tasks[[#This Row],[Task Name]]="","",Tasks[[#This Row],[Forecast Finish]])</f>
        <v/>
      </c>
      <c r="BC205" s="28" t="str">
        <f aca="false">IF(Tasks[[#This Row],[Task Name]]="","",IF(Tasks[[#This Row],[_IsSummary]],NETWORKDAYS.INTL(Tasks[[#This Row],[Forecast Start]],Tasks[[#This Row],[Forecast Finish]],WorkWeek,Holidays),N(Tasks[[#This Row],[Duration]])))</f>
        <v/>
      </c>
      <c r="BD205" s="96" t="str">
        <f aca="false">IF(Tasks[[#This Row],[Task Name]]="","",Tasks[[#This Row],[Work]])</f>
        <v/>
      </c>
      <c r="BE205" s="97" t="str">
        <f aca="false">IF(Tasks[[#This Row],[Task Name]]="","",Tasks[[#This Row],[Cost]])</f>
        <v/>
      </c>
      <c r="BF205" s="75"/>
      <c r="BG205" s="75"/>
      <c r="BH205" s="29"/>
      <c r="BI205" s="99"/>
      <c r="BJ205" s="98"/>
      <c r="BK205" s="28" t="str">
        <f aca="false">IF(OR(Tasks[[#This Row],[Task Name]]="",Tasks[[#This Row],[Baseline Duration]]=""),"",Tasks[[#This Row],[BL Source Duration]]-N(Tasks[[#This Row],[Baseline Duration]]))</f>
        <v/>
      </c>
      <c r="BL205" s="96" t="str">
        <f aca="false">IF(OR(Tasks[[#This Row],[Task Name]]="",Tasks[[#This Row],[Baseline Work]]=""),"",Tasks[[#This Row],[Work]]-N(Tasks[[#This Row],[Baseline Work]]))</f>
        <v/>
      </c>
      <c r="BM205" s="97" t="str">
        <f aca="false">IF(OR(Tasks[[#This Row],[Task Name]]="",Tasks[[#This Row],[Baseline Cost]]=""),"",Tasks[[#This Row],[Cost]]-N(Tasks[[#This Row],[Baseline Cost]]))</f>
        <v/>
      </c>
      <c r="BN205" s="97" t="str">
        <f aca="false">IF(Tasks[[#This Row],[Task Name]]="","",IF(Tasks[[#This Row],[_IsSummary]],SUM(INDEX(Tasks[_LeafBudget],Tasks[[#This Row],[_Row]]+1):INDEX(Tasks[_LeafBudget],Tasks[[#This Row],[_Row]]+Tasks[[#This Row],[_Descendants]])),Tasks[[#This Row],[_LeafBudget]]))</f>
        <v/>
      </c>
      <c r="BO205" s="97" t="str">
        <f aca="false">IF(Tasks[[#This Row],[Task Name]]="","",IF(Tasks[[#This Row],[_IsSummary]],SUM(INDEX(Tasks[_LeafPV],Tasks[[#This Row],[_Row]]+1):INDEX(Tasks[_LeafPV],Tasks[[#This Row],[_Row]]+Tasks[[#This Row],[_Descendants]])),Tasks[[#This Row],[_LeafPV]]))</f>
        <v/>
      </c>
      <c r="BP205" s="97" t="str">
        <f aca="false">IF(Tasks[[#This Row],[Task Name]]="","",IF(Tasks[[#This Row],[_IsSummary]],SUM(INDEX(Tasks[_LeafEV],Tasks[[#This Row],[_Row]]+1):INDEX(Tasks[_LeafEV],Tasks[[#This Row],[_Row]]+Tasks[[#This Row],[_Descendants]])),Tasks[[#This Row],[_LeafEV]]))</f>
        <v/>
      </c>
      <c r="BQ205" s="97" t="str">
        <f aca="false">IF(Tasks[[#This Row],[Task Name]]="","",IF(Tasks[[#This Row],[_IsSummary]],SUM(INDEX(Tasks[_LeafAC],Tasks[[#This Row],[_Row]]+1):INDEX(Tasks[_LeafAC],Tasks[[#This Row],[_Row]]+Tasks[[#This Row],[_Descendants]])),Tasks[[#This Row],[_LeafAC]]))</f>
        <v/>
      </c>
      <c r="BR205" s="41" t="str">
        <f aca="false">IF(Tasks[[#This Row],[Task Name]]="","",MAX(1,N(Tasks[[#This Row],[Level]])))</f>
        <v/>
      </c>
      <c r="BS205" s="41" t="n">
        <f aca="false">ROW()-ROW(Tasks[[#Headers],[ID]])</f>
        <v>200</v>
      </c>
      <c r="BT205" s="41" t="n">
        <f aca="false">IF(OR(Tasks[[#This Row],[Task Name]]="",Tasks[[#This Row],[_Level]]&lt;=1),0,IFERROR(LOOKUP(2,1/(Tasks[[#Headers],[_Level]]:Tasks[[#This Row],[_Level]]=Tasks[[#This Row],[_Level]]-1),ROW(Tasks[[#Headers],[_Level]]:Tasks[[#This Row],[_Level]])),0))</f>
        <v>0</v>
      </c>
      <c r="BU205" s="41" t="n">
        <f aca="false">IFERROR(N(INDEX(Tasks[_Level],Tasks[[#This Row],[_Row]]+1)),0)</f>
        <v>0</v>
      </c>
      <c r="BV205" s="100" t="b">
        <f aca="false">AND(Tasks[[#This Row],[Task Name]]&lt;&gt;"",Tasks[[#This Row],[_NextLevel]]&gt;Tasks[[#This Row],[_Level]])</f>
        <v>0</v>
      </c>
      <c r="BW205" s="41" t="n">
        <f aca="false">IF(Tasks[[#This Row],[_IsSummary]],COUNTIF(Tasks[WBS],Tasks[[#This Row],[WBS]]&amp;".*"),0)</f>
        <v>0</v>
      </c>
      <c r="BX205" s="41" t="n">
        <f aca="false">IF(AND(Tasks[[#This Row],[Task Name]]&lt;&gt;"",NOT(Tasks[[#This Row],[_IsSummary]])),1,0)</f>
        <v>0</v>
      </c>
      <c r="BY205" s="41" t="n">
        <f aca="false">IF(N(Tasks[[#This Row],[Pred1 UID]])=0,0,IFERROR(MATCH(Tasks[[#This Row],[Pred1 UID]],Tasks[UID],0),-1))</f>
        <v>0</v>
      </c>
      <c r="BZ205" s="41" t="n">
        <f aca="false">IF(N(Tasks[[#This Row],[Pred2 UID]])=0,0,IFERROR(MATCH(Tasks[[#This Row],[Pred2 UID]],Tasks[UID],0),-1))</f>
        <v>0</v>
      </c>
      <c r="CA205" s="41" t="n">
        <f aca="false">IF(N(Tasks[[#This Row],[Pred3 UID]])=0,0,IFERROR(MATCH(Tasks[[#This Row],[Pred3 UID]],Tasks[UID],0),-1))</f>
        <v>0</v>
      </c>
      <c r="CB205" s="41" t="n">
        <f aca="false">IF(N(Tasks[[#This Row],[Pred4 UID]])=0,0,IFERROR(MATCH(Tasks[[#This Row],[Pred4 UID]],Tasks[UID],0),-1))</f>
        <v>0</v>
      </c>
      <c r="CC2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5" s="101" t="n">
        <f aca="false">IF(OR(Tasks[[#This Row],[_ConstraintCode]]=2,Tasks[[#This Row],[_ConstraintCode]]=3,Tasks[[#This Row],[_ConstraintCode]]=4,Tasks[[#This Row],[_ConstraintCode]]=6),Tasks[[#This Row],[_ConstraintStart]],0)</f>
        <v>0</v>
      </c>
      <c r="CF205" s="101" t="n">
        <f aca="false">IF(OR(Tasks[[#This Row],[_ConstraintCode]]=2,Tasks[[#This Row],[_ConstraintCode]]=3,Tasks[[#This Row],[_ConstraintCode]]=5,Tasks[[#This Row],[_ConstraintCode]]=7),Tasks[[#This Row],[_ConstraintStart]],2958465)</f>
        <v>2958465</v>
      </c>
      <c r="CG20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5" s="101" t="str">
        <f aca="false">IF(NOT(Tasks[[#This Row],[_IsLeaf]]=1),"",IF(N(Tasks[[#This Row],[Duration]])&lt;=0,Tasks[[#This Row],[_LeafCalcStart]],WORKDAY.INTL(Tasks[[#This Row],[_LeafCalcStart]],Tasks[[#This Row],[Duration]]-1,WorkWeek,Holidays)))</f>
        <v/>
      </c>
      <c r="CI20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5" s="41" t="n">
        <f aca="false">IF(NOT(Tasks[[#This Row],[_IsLeaf]]=1),0,IF(N(Tasks[[#This Row],[Actual Finish]])&gt;0,1,MIN(1,N(Tasks[[#This Row],[% Complete]]))))</f>
        <v>0</v>
      </c>
      <c r="CL205" s="41" t="n">
        <f aca="false">IF(OR(NOT(Tasks[[#This Row],[_IsLeaf]]=1),Tasks[[#This Row],[Resource]]=""),0,N(Tasks[[#This Row],[Duration]])*HoursPerDay*IF(Tasks[[#This Row],[Units]]="",DefaultUnits,Tasks[[#This Row],[Units]]))</f>
        <v>0</v>
      </c>
      <c r="CM205" s="41" t="n">
        <f aca="false">IF(Tasks[[#This Row],[_LeafWork]]=0,0,Tasks[[#This Row],[_LeafWork]]*IFERROR(INDEX(res_Rate,MATCH(Tasks[[#This Row],[Resource]],res_Name,0)),0))</f>
        <v>0</v>
      </c>
      <c r="CN205" s="41" t="n">
        <f aca="false">Tasks[[#This Row],[_LeafWork]]+IF(Tasks[[#This Row],[_IsLeaf]]=1,SUMIFS(asg_Work,asg_TaskUID,Tasks[[#This Row],[UID]],asg_Valid,1),0)</f>
        <v>0</v>
      </c>
      <c r="CO205" s="41" t="n">
        <f aca="false">Tasks[[#This Row],[_LeafCost]]+IF(Tasks[[#This Row],[_IsLeaf]]=1,SUMIFS(asg_Cost,asg_TaskUID,Tasks[[#This Row],[UID]],asg_Valid,1),0)</f>
        <v>0</v>
      </c>
      <c r="CP205" s="41" t="n">
        <f aca="false">IF(Tasks[[#This Row],[_LeafTotalCost]]=0,Tasks[[#This Row],[_LeafAC]],Tasks[[#This Row],[_LeafAC]]*Tasks[[#This Row],[_LeafCost]]/Tasks[[#This Row],[_LeafTotalCost]])</f>
        <v>0</v>
      </c>
      <c r="CQ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5" s="41" t="n">
        <f aca="false">IF(NOT(Tasks[[#This Row],[_IsLeaf]]=1),0,MAX(_xlfn.MAXIFS(Tasks[_Row],Tasks[Pred1 UID],Tasks[[#This Row],[UID]]),_xlfn.MAXIFS(Tasks[_Row],Tasks[Pred2 UID],Tasks[[#This Row],[UID]]),_xlfn.MAXIFS(Tasks[_Row],Tasks[Pred3 UID],Tasks[[#This Row],[UID]]),_xlfn.MAXIFS(Tasks[_Row],Tasks[Pred4 UID],Tasks[[#This Row],[UID]])))</f>
        <v>0</v>
      </c>
      <c r="CZ2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5" s="101" t="str">
        <f aca="false">IF(NOT(Tasks[[#This Row],[_IsLeaf]]=1),"",IF(N(Tasks[[#This Row],[Duration]])&lt;=0,Tasks[[#This Row],[_LeafLateFinish]],WORKDAY.INTL(Tasks[[#This Row],[_LeafLateFinish]],-(Tasks[[#This Row],[Duration]]-1),WorkWeek,Holidays)))</f>
        <v/>
      </c>
      <c r="DC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5" s="100" t="b">
        <f aca="false">AND(Tasks[[#This Row],[_IsLeaf]]=1,Tasks[[#This Row],[_LeafProgress]]&lt;1,N(Tasks[[#This Row],[_LeafTotalSlack]])&lt;=CriticalSlackDays)</f>
        <v>0</v>
      </c>
      <c r="DE205" s="41" t="n">
        <f aca="false">IF(AND(Tasks[[#This Row],[_IsLeaf]]=1,Tasks[[#This Row],[_ConstraintCode]]=1,Tasks[[#This Row],[Mode]]&lt;&gt;"Manual",N(Tasks[[#This Row],[Actual Start]])=0),MAX(0,N(Tasks[[#This Row],[Free Slack]])),0)</f>
        <v>0</v>
      </c>
      <c r="DF205" s="101" t="str">
        <f aca="false">IF(NOT(Tasks[[#This Row],[_IsLeaf]]=1),"",IF(Tasks[[#This Row],[_AlapShift]]=0,Tasks[[#This Row],[_LeafCalcStart]],WORKDAY.INTL(Tasks[[#This Row],[_LeafCalcStart]],Tasks[[#This Row],[_AlapShift]],WorkWeek,Holidays)))</f>
        <v/>
      </c>
      <c r="DG205" s="101" t="str">
        <f aca="false">IF(NOT(Tasks[[#This Row],[_IsLeaf]]=1),"",IF(Tasks[[#This Row],[_AlapShift]]=0,Tasks[[#This Row],[_LeafCalcFinish]],WORKDAY.INTL(Tasks[[#This Row],[_LeafCalcFinish]],Tasks[[#This Row],[_AlapShift]],WorkWeek,Holidays)))</f>
        <v/>
      </c>
      <c r="DH205" s="101" t="str">
        <f aca="false">IF(NOT(Tasks[[#This Row],[_IsLeaf]]=1),"",IF(Tasks[[#This Row],[_AlapShift]]=0,Tasks[[#This Row],[_LeafFcstStart]],WORKDAY.INTL(Tasks[[#This Row],[_LeafFcstStart]],Tasks[[#This Row],[_AlapShift]],WorkWeek,Holidays)))</f>
        <v/>
      </c>
      <c r="DI205" s="101" t="str">
        <f aca="false">IF(NOT(Tasks[[#This Row],[_IsLeaf]]=1),"",IF(Tasks[[#This Row],[_AlapShift]]=0,Tasks[[#This Row],[_LeafFcstFinish]],WORKDAY.INTL(Tasks[[#This Row],[_LeafFcstFinish]],Tasks[[#This Row],[_AlapShift]],WorkWeek,Holidays)))</f>
        <v/>
      </c>
      <c r="DJ205" s="101" t="str">
        <f aca="false">IF(Tasks[[#This Row],[Task Name]]="","",IF(Tasks[[#This Row],[_IsSummary]],MIN(INDEX(Tasks[_ShownCalcStart],Tasks[[#This Row],[_Row]]+1):INDEX(Tasks[_ShownCalcStart],Tasks[[#This Row],[_Row]]+Tasks[[#This Row],[_Descendants]])),Tasks[[#This Row],[_ShownCalcStart]]))</f>
        <v/>
      </c>
      <c r="DK205" s="101" t="str">
        <f aca="false">IF(Tasks[[#This Row],[Task Name]]="","",IF(Tasks[[#This Row],[_IsSummary]],MAX(INDEX(Tasks[_ShownCalcFinish],Tasks[[#This Row],[_Row]]+1):INDEX(Tasks[_ShownCalcFinish],Tasks[[#This Row],[_Row]]+Tasks[[#This Row],[_Descendants]])),Tasks[[#This Row],[_ShownCalcFinish]]))</f>
        <v/>
      </c>
      <c r="D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5" s="41" t="n">
        <f aca="false">IF(AND(Tasks[[#This Row],[_IsLeaf]]=1,Tasks[[#This Row],[_LeafTotalWork]]&gt;0),NETWORKDAYS.INTL(ProjectStart,Tasks[[#This Row],[_ShownFcstStart]],WorkWeek,Holidays),0)</f>
        <v>0</v>
      </c>
      <c r="DY205" s="41" t="n">
        <f aca="false">IF(AND(Tasks[[#This Row],[_IsLeaf]]=1,Tasks[[#This Row],[_LeafTotalWork]]&gt;0),MAX(Tasks[[#This Row],[_StartWorkday]],NETWORKDAYS.INTL(ProjectStart,Tasks[[#This Row],[_ShownFcstFinish]],WorkWeek,Holidays)),0)</f>
        <v>0</v>
      </c>
      <c r="DZ205" s="41" t="n">
        <f aca="false">IF(AND(Tasks[[#This Row],[_IsLeaf]]=1,Tasks[[#This Row],[_LeafTotalWork]]&gt;0),Tasks[[#This Row],[_LeafWork]]/(Tasks[[#This Row],[_FinishWorkday]]-Tasks[[#This Row],[_StartWorkday]]+1),0)</f>
        <v>0</v>
      </c>
      <c r="EA205" s="41" t="n">
        <f aca="false">Tasks[[#This Row],[_WorkPerWorkday]]*(Tasks[[#This Row],[_StartWorkday]]-1)</f>
        <v>-0</v>
      </c>
      <c r="EB205" s="41" t="n">
        <f aca="false">IF(Tasks[[#This Row],[_IsLeaf]]=1,MAX(N(Tasks[[#This Row],[Duration]]),0.1),0)</f>
        <v>0</v>
      </c>
      <c r="EC205" s="41" t="n">
        <f aca="false">Tasks[[#This Row],[_WeightDur]]*Tasks[[#This Row],[_LeafProgress]]</f>
        <v>0</v>
      </c>
      <c r="ED2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5" s="41" t="str">
        <f aca="false">IF(AND(Tasks[[#This Row],[_IsLeaf]]=1,N(Tasks[[#This Row],[Duration]])=0,Tasks[[#This Row],[_LeafProgress]]&lt;1),Tasks[[#This Row],[_ShownFcstFinish]]+Tasks[[#This Row],[_Row]]/100000,"")</f>
        <v/>
      </c>
      <c r="EF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5" s="41" t="n">
        <f aca="false">IF(NOT(Tasks[[#This Row],[_IsLeaf]]=1),0,IF(Tasks[[#This Row],[Baseline Cost]]="",Tasks[[#This Row],[_LeafTotalCost]],N(Tasks[[#This Row],[Baseline Cost]])))</f>
        <v>0</v>
      </c>
      <c r="EH205" s="41" t="n">
        <f aca="false">Tasks[[#This Row],[_LeafBudget]]*Tasks[[#This Row],[_PlannedPct]]</f>
        <v>0</v>
      </c>
      <c r="EI205" s="41" t="n">
        <f aca="false">Tasks[[#This Row],[_LeafBudget]]*Tasks[[#This Row],[_LeafProgress]]</f>
        <v>0</v>
      </c>
      <c r="EJ205" s="41" t="n">
        <f aca="false">IF(NOT(Tasks[[#This Row],[_IsLeaf]]=1),0,IF(Tasks[[#This Row],[Actual Cost]]="",Tasks[[#This Row],[_LeafTotalCost]]*Tasks[[#This Row],[_LeafProgress]],N(Tasks[[#This Row],[Actual Cost]])))</f>
        <v>0</v>
      </c>
      <c r="EK205" s="41" t="str">
        <f aca="false">IF(Tasks[[#This Row],[Task Name]]="","",LEFT(Tasks[[#This Row],[WBS]],FIND(".",Tasks[[#This Row],[WBS]]&amp;".")-1))</f>
        <v/>
      </c>
      <c r="EL205" s="41" t="str">
        <f aca="false">IF(AND(Tasks[[#This Row],[Task Name]]&lt;&gt;"",Tasks[[#This Row],[_Level]]=1),Tasks[[#This Row],[_Row]],"")</f>
        <v/>
      </c>
      <c r="EM205" s="41" t="str">
        <f aca="false">IF(AND(Tasks[[#This Row],[_IsLeaf]]=1,N(Tasks[[#This Row],[Duration]])=0),Tasks[[#This Row],[Planned Finish]]+Tasks[[#This Row],[_Row]]/100000,"")</f>
        <v/>
      </c>
      <c r="EN205" s="41" t="str">
        <f aca="false">IF(AND(Tasks[[#This Row],[_IsLeaf]]=1,Tasks[[#This Row],[_LeafProgress]]&lt;1,OR(N(Tasks[[#This Row],[Finish Var]])&gt;0,Tasks[[#This Row],[Status]]="Late Start")),MAX(0,Tasks[[#This Row],[Finish Var]])+1-Tasks[[#This Row],[_Row]]/1000000,"")</f>
        <v/>
      </c>
      <c r="EO205" s="41" t="str">
        <f aca="false">IF(AND(Tasks[[#This Row],[_IsLeaf]]=1,N(Tasks[[#This Row],[Actual Start]])=0,Tasks[[#This Row],[_ShownFcstStart]]&gt;=StatusDate,Tasks[[#This Row],[_ShownFcstStart]]&lt;=LookaheadEnd),Tasks[[#This Row],[_ShownFcstStart]]+Tasks[[#This Row],[_Row]]/100000,"")</f>
        <v/>
      </c>
      <c r="EP205" s="41" t="str">
        <f aca="false">IF(AND(Tasks[[#This Row],[_IsLeaf]]=1,Tasks[[#This Row],[_LeafProgress]]&lt;1,Tasks[[#This Row],[_ShownFcstFinish]]&gt;=StatusDate,Tasks[[#This Row],[_ShownFcstFinish]]&lt;=LookaheadEnd),Tasks[[#This Row],[_ShownFcstFinish]]+Tasks[[#This Row],[_Row]]/100000,"")</f>
        <v/>
      </c>
      <c r="EQ205" s="41" t="str">
        <f aca="false">IF(Tasks[[#This Row],[_LeafCritical]],Tasks[[#This Row],[_ShownFcstStart]]+Tasks[[#This Row],[_Row]]/100000,"")</f>
        <v/>
      </c>
      <c r="ER205" s="41" t="n">
        <f aca="false">Tasks[[#This Row],[_LeafWork]]*Tasks[[#This Row],[_LeafProgress]]</f>
        <v>0</v>
      </c>
      <c r="ES205" s="101" t="str">
        <f aca="false">IF(AND(Tasks[[#This Row],[_IsLeaf]]=1,Tasks[[#This Row],[_LeafProgress]]&gt;=1),IF(N(Tasks[[#This Row],[Actual Finish]])&gt;0,Tasks[[#This Row],[Actual Finish]],Tasks[[#This Row],[_ShownFcstFinish]]),"")</f>
        <v/>
      </c>
      <c r="ET205" s="41" t="n">
        <f aca="false">IF(Tasks[[#This Row],[_IsLeaf]]=1,N(Tasks[[#This Row],[Story Points]]),0)</f>
        <v>0</v>
      </c>
      <c r="EU205" s="41" t="str">
        <f aca="false">IF(AND(Tasks[[#This Row],[_IsLeaf]]=1,CurrentSprint&lt;&gt;"",Tasks[[#This Row],[Sprint]]=CurrentSprint),Tasks[[#This Row],[_Row]],"")</f>
        <v/>
      </c>
    </row>
  </sheetData>
  <conditionalFormatting sqref="A6:BQ205">
    <cfRule type="expression" priority="2" aboveAverage="0" equalAverage="0" bottom="0" percent="0" rank="0" text="" dxfId="29">
      <formula>$BV6=1</formula>
    </cfRule>
  </conditionalFormatting>
  <conditionalFormatting sqref="G6:G205">
    <cfRule type="expression" priority="3" aboveAverage="0" equalAverage="0" bottom="0" percent="0" rank="0" text="" dxfId="30">
      <formula>$BV6=1</formula>
    </cfRule>
  </conditionalFormatting>
  <conditionalFormatting sqref="H6:H205">
    <cfRule type="expression" priority="4" aboveAverage="0" equalAverage="0" bottom="0" percent="0" rank="0" text="" dxfId="30">
      <formula>$BV6=1</formula>
    </cfRule>
  </conditionalFormatting>
  <conditionalFormatting sqref="K6:K205">
    <cfRule type="expression" priority="5" aboveAverage="0" equalAverage="0" bottom="0" percent="0" rank="0" text="" dxfId="30">
      <formula>$BV6=1</formula>
    </cfRule>
  </conditionalFormatting>
  <conditionalFormatting sqref="N6:N205">
    <cfRule type="expression" priority="6" aboveAverage="0" equalAverage="0" bottom="0" percent="0" rank="0" text="" dxfId="30">
      <formula>$BV6=1</formula>
    </cfRule>
  </conditionalFormatting>
  <conditionalFormatting sqref="Q6:Q205">
    <cfRule type="expression" priority="7" aboveAverage="0" equalAverage="0" bottom="0" percent="0" rank="0" text="" dxfId="30">
      <formula>$BV6=1</formula>
    </cfRule>
  </conditionalFormatting>
  <conditionalFormatting sqref="I6:I205">
    <cfRule type="expression" priority="8" aboveAverage="0" equalAverage="0" bottom="0" percent="0" rank="0" text="" dxfId="30">
      <formula>$BV6=1</formula>
    </cfRule>
  </conditionalFormatting>
  <conditionalFormatting sqref="L6:L205">
    <cfRule type="expression" priority="9" aboveAverage="0" equalAverage="0" bottom="0" percent="0" rank="0" text="" dxfId="30">
      <formula>$BV6=1</formula>
    </cfRule>
  </conditionalFormatting>
  <conditionalFormatting sqref="O6:O205">
    <cfRule type="expression" priority="10" aboveAverage="0" equalAverage="0" bottom="0" percent="0" rank="0" text="" dxfId="30">
      <formula>$BV6=1</formula>
    </cfRule>
  </conditionalFormatting>
  <conditionalFormatting sqref="R6:R205">
    <cfRule type="expression" priority="11" aboveAverage="0" equalAverage="0" bottom="0" percent="0" rank="0" text="" dxfId="30">
      <formula>$BV6=1</formula>
    </cfRule>
  </conditionalFormatting>
  <conditionalFormatting sqref="J6:J205">
    <cfRule type="expression" priority="12" aboveAverage="0" equalAverage="0" bottom="0" percent="0" rank="0" text="" dxfId="30">
      <formula>$BV6=1</formula>
    </cfRule>
  </conditionalFormatting>
  <conditionalFormatting sqref="M6:M205">
    <cfRule type="expression" priority="13" aboveAverage="0" equalAverage="0" bottom="0" percent="0" rank="0" text="" dxfId="30">
      <formula>$BV6=1</formula>
    </cfRule>
  </conditionalFormatting>
  <conditionalFormatting sqref="P6:P205">
    <cfRule type="expression" priority="14" aboveAverage="0" equalAverage="0" bottom="0" percent="0" rank="0" text="" dxfId="30">
      <formula>$BV6=1</formula>
    </cfRule>
  </conditionalFormatting>
  <conditionalFormatting sqref="S6:S205">
    <cfRule type="expression" priority="15" aboveAverage="0" equalAverage="0" bottom="0" percent="0" rank="0" text="" dxfId="30">
      <formula>$BV6=1</formula>
    </cfRule>
  </conditionalFormatting>
  <conditionalFormatting sqref="T6:T205">
    <cfRule type="expression" priority="16" aboveAverage="0" equalAverage="0" bottom="0" percent="0" rank="0" text="" dxfId="30">
      <formula>$BV6=1</formula>
    </cfRule>
  </conditionalFormatting>
  <conditionalFormatting sqref="U6:U205">
    <cfRule type="expression" priority="17" aboveAverage="0" equalAverage="0" bottom="0" percent="0" rank="0" text="" dxfId="30">
      <formula>$BV6=1</formula>
    </cfRule>
  </conditionalFormatting>
  <conditionalFormatting sqref="Y6:Y205">
    <cfRule type="expression" priority="18" aboveAverage="0" equalAverage="0" bottom="0" percent="0" rank="0" text="" dxfId="30">
      <formula>$BV6=1</formula>
    </cfRule>
  </conditionalFormatting>
  <conditionalFormatting sqref="Z6:Z205">
    <cfRule type="expression" priority="19" aboveAverage="0" equalAverage="0" bottom="0" percent="0" rank="0" text="" dxfId="30">
      <formula>$BV6=1</formula>
    </cfRule>
  </conditionalFormatting>
  <conditionalFormatting sqref="AL6:AL205">
    <cfRule type="expression" priority="20" aboveAverage="0" equalAverage="0" bottom="0" percent="0" rank="0" text="" dxfId="30">
      <formula>$BV6=1</formula>
    </cfRule>
  </conditionalFormatting>
  <conditionalFormatting sqref="AO6:AO205">
    <cfRule type="expression" priority="21" aboveAverage="0" equalAverage="0" bottom="0" percent="0" rank="0" text="" dxfId="30">
      <formula>$BV6=1</formula>
    </cfRule>
  </conditionalFormatting>
  <conditionalFormatting sqref="AP6:AP205">
    <cfRule type="expression" priority="22" aboveAverage="0" equalAverage="0" bottom="0" percent="0" rank="0" text="" dxfId="30">
      <formula>$BV6=1</formula>
    </cfRule>
  </conditionalFormatting>
  <conditionalFormatting sqref="AU6:AU205">
    <cfRule type="expression" priority="23" aboveAverage="0" equalAverage="0" bottom="0" percent="0" rank="0" text="" dxfId="30">
      <formula>$BV6=1</formula>
    </cfRule>
  </conditionalFormatting>
  <conditionalFormatting sqref="AV6:AV205">
    <cfRule type="expression" priority="24" aboveAverage="0" equalAverage="0" bottom="0" percent="0" rank="0" text="" dxfId="30">
      <formula>$BV6=1</formula>
    </cfRule>
  </conditionalFormatting>
  <conditionalFormatting sqref="AX6:AX205">
    <cfRule type="expression" priority="25" aboveAverage="0" equalAverage="0" bottom="0" percent="0" rank="0" text="" dxfId="30">
      <formula>$BV6=1</formula>
    </cfRule>
  </conditionalFormatting>
  <conditionalFormatting sqref="AN6:AN205">
    <cfRule type="expression" priority="26" aboveAverage="0" equalAverage="0" bottom="0" percent="0" rank="0" text="" dxfId="12">
      <formula>$AN6="Complete"</formula>
    </cfRule>
    <cfRule type="expression" priority="27" aboveAverage="0" equalAverage="0" bottom="0" percent="0" rank="0" text="" dxfId="31">
      <formula>$AN6="In Progress"</formula>
    </cfRule>
    <cfRule type="expression" priority="28" aboveAverage="0" equalAverage="0" bottom="0" percent="0" rank="0" text="" dxfId="20">
      <formula>$AN6="Behind"</formula>
    </cfRule>
    <cfRule type="expression" priority="29" aboveAverage="0" equalAverage="0" bottom="0" percent="0" rank="0" text="" dxfId="26">
      <formula>$AN6="Late Start"</formula>
    </cfRule>
    <cfRule type="expression" priority="30" aboveAverage="0" equalAverage="0" bottom="0" percent="0" rank="0" text="" dxfId="32">
      <formula>$AN6="Not Started"</formula>
    </cfRule>
  </conditionalFormatting>
  <conditionalFormatting sqref="AC6:AC205">
    <cfRule type="expression" priority="31" aboveAverage="0" equalAverage="0" bottom="0" percent="0" rank="0" text="" dxfId="20">
      <formula>AND(ISNUMBER($AC6),$AC6&gt;0)</formula>
    </cfRule>
    <cfRule type="expression" priority="32" aboveAverage="0" equalAverage="0" bottom="0" percent="0" rank="0" text="" dxfId="12">
      <formula>AND(ISNUMBER($AC6),$AC6&lt;0)</formula>
    </cfRule>
  </conditionalFormatting>
  <conditionalFormatting sqref="AD6:AD205">
    <cfRule type="expression" priority="33" aboveAverage="0" equalAverage="0" bottom="0" percent="0" rank="0" text="" dxfId="20">
      <formula>AND(ISNUMBER($AD6),$AD6&gt;0)</formula>
    </cfRule>
    <cfRule type="expression" priority="34" aboveAverage="0" equalAverage="0" bottom="0" percent="0" rank="0" text="" dxfId="12">
      <formula>AND(ISNUMBER($AD6),$AD6&lt;0)</formula>
    </cfRule>
  </conditionalFormatting>
  <conditionalFormatting sqref="BK6:BK205">
    <cfRule type="expression" priority="35" aboveAverage="0" equalAverage="0" bottom="0" percent="0" rank="0" text="" dxfId="20">
      <formula>AND(ISNUMBER($BK6),$BK6&gt;0)</formula>
    </cfRule>
    <cfRule type="expression" priority="36" aboveAverage="0" equalAverage="0" bottom="0" percent="0" rank="0" text="" dxfId="12">
      <formula>AND(ISNUMBER($BK6),$BK6&lt;0)</formula>
    </cfRule>
  </conditionalFormatting>
  <conditionalFormatting sqref="BL6:BL205">
    <cfRule type="expression" priority="37" aboveAverage="0" equalAverage="0" bottom="0" percent="0" rank="0" text="" dxfId="20">
      <formula>AND(ISNUMBER($BL6),$BL6&gt;0)</formula>
    </cfRule>
    <cfRule type="expression" priority="38" aboveAverage="0" equalAverage="0" bottom="0" percent="0" rank="0" text="" dxfId="12">
      <formula>AND(ISNUMBER($BL6),$BL6&lt;0)</formula>
    </cfRule>
  </conditionalFormatting>
  <conditionalFormatting sqref="BM6:BM205">
    <cfRule type="expression" priority="39" aboveAverage="0" equalAverage="0" bottom="0" percent="0" rank="0" text="" dxfId="20">
      <formula>AND(ISNUMBER($BM6),$BM6&gt;0)</formula>
    </cfRule>
    <cfRule type="expression" priority="40" aboveAverage="0" equalAverage="0" bottom="0" percent="0" rank="0" text="" dxfId="12">
      <formula>AND(ISNUMBER($BM6),$BM6&lt;0)</formula>
    </cfRule>
  </conditionalFormatting>
  <conditionalFormatting sqref="E6:E205">
    <cfRule type="expression" priority="41" aboveAverage="0" equalAverage="0" bottom="0" percent="0" rank="0" text="" dxfId="33">
      <formula>AND($BX6=1,N($G6)=0)</formula>
    </cfRule>
  </conditionalFormatting>
  <conditionalFormatting sqref="C6:C205">
    <cfRule type="expression" priority="42" aboveAverage="0" equalAverage="0" bottom="0" percent="0" rank="0" text="" dxfId="34">
      <formula>$C6="?"</formula>
    </cfRule>
  </conditionalFormatting>
  <conditionalFormatting sqref="B6:B205">
    <cfRule type="expression" priority="43" aboveAverage="0" equalAverage="0" bottom="0" percent="0" rank="0" text="" dxfId="15">
      <formula>OR(AND($E6&lt;&gt;"",$B6=""),AND($B6&lt;&gt;"",COUNTIF(tsk_UID,$B6)&gt;1))</formula>
    </cfRule>
  </conditionalFormatting>
  <conditionalFormatting sqref="AK6:AK205">
    <cfRule type="expression" priority="44" aboveAverage="0" equalAverage="0" bottom="0" percent="0" rank="0" text="" dxfId="35">
      <formula>$AK6&lt;&gt;""</formula>
    </cfRule>
  </conditionalFormatting>
  <conditionalFormatting sqref="AJ6:AJ205">
    <cfRule type="expression" priority="45" aboveAverage="0" equalAverage="0" bottom="0" percent="0" rank="0" text="" dxfId="20">
      <formula>LEFT($AJ6,4)="Late"</formula>
    </cfRule>
    <cfRule type="expression" priority="46" aboveAverage="0" equalAverage="0" bottom="0" percent="0" rank="0" text="" dxfId="12">
      <formula>$AJ6="OK"</formula>
    </cfRule>
  </conditionalFormatting>
  <conditionalFormatting sqref="AR6:AR205">
    <cfRule type="expression" priority="47" aboveAverage="0" equalAverage="0" bottom="0" percent="0" rank="0" text="" dxfId="15">
      <formula>$AR6="Yes"</formula>
    </cfRule>
  </conditionalFormatting>
  <conditionalFormatting sqref="AI6:AI205">
    <cfRule type="expression" priority="48" aboveAverage="0" equalAverage="0" bottom="0" percent="0" rank="0" text="" dxfId="21">
      <formula>$AI6="Yes"</formula>
    </cfRule>
  </conditionalFormatting>
  <conditionalFormatting sqref="AG6:AG205">
    <cfRule type="expression" priority="49" aboveAverage="0" equalAverage="0" bottom="0" percent="0" rank="0" text="" dxfId="20">
      <formula>AND(ISNUMBER($AG6),$AG6&lt;0)</formula>
    </cfRule>
  </conditionalFormatting>
  <conditionalFormatting sqref="AH6:AH205">
    <cfRule type="expression" priority="50" aboveAverage="0" equalAverage="0" bottom="0" percent="0" rank="0" text="" dxfId="20">
      <formula>AND(ISNUMBER($AH6),$AH6&lt;0)</formula>
    </cfRule>
  </conditionalFormatting>
  <dataValidations count="14">
    <dataValidation allowBlank="false" errorStyle="stop" operator="greaterThan" showDropDown="false" showErrorMessage="false" showInputMessage="false" sqref="U6:V205 Y6:Z205" type="date">
      <formula1>1</formula1>
      <formula2>0</formula2>
    </dataValidation>
    <dataValidation allowBlank="false" errorStyle="stop" operator="between" showDropDown="false" showErrorMessage="false" showInputMessage="false" sqref="AP6:AP205" type="decimal">
      <formula1>0</formula1>
      <formula2>10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N6:N205 Q6:Q205" type="whole">
      <formula1>1</formula1>
      <formula2>0</formula2>
    </dataValidation>
    <dataValidation allowBlank="false" errorStyle="stop" operator="between" showDropDown="false" showErrorMessage="false" showInputMessage="false" sqref="I6:I205 L6:L205 O6:O205 R6:R205" type="list">
      <formula1>L_DepType</formula1>
      <formula2>0</formula2>
    </dataValidation>
    <dataValidation allowBlank="false" errorStyle="stop" operator="between" showDropDown="false" showErrorMessage="false" showInputMessage="false" sqref="J6:J205 M6:M205 P6:P205 S6:S205" type="whole">
      <formula1>-365</formula1>
      <formula2>365</formula2>
    </dataValidation>
    <dataValidation allowBlank="false" errorStyle="stop" operator="between" showDropDown="false" showErrorMessage="false" showInputMessage="false" sqref="T6:T205" type="list">
      <formula1>L_Constraint</formula1>
      <formula2>0</formula2>
    </dataValidation>
    <dataValidation allowBlank="false" error="Enter 0% - 100%." errorStyle="stop" operator="between" showDropDown="false" showErrorMessage="true" showInputMessage="false" sqref="AL6:AL205" type="decimal">
      <formula1>0</formula1>
      <formula2>1</formula2>
    </dataValidation>
    <dataValidation allowBlank="false" errorStyle="stop" operator="between" showDropDown="false" showErrorMessage="false" showInputMessage="false" sqref="AO6:AO205" type="list">
      <formula1>res_Name</formula1>
      <formula2>0</formula2>
    </dataValidation>
    <dataValidation allowBlank="false" errorStyle="stop" operator="greaterThanOrEqual" showDropDown="false" showErrorMessage="false" showInputMessage="false" sqref="AU6:AU205 AX6:AX205" type="decimal">
      <formula1>0</formula1>
      <formula2>0</formula2>
    </dataValidation>
    <dataValidation allowBlank="false" errorStyle="stop" operator="between" showDropDown="false" showErrorMessage="false" showInputMessage="false" sqref="AV6:AV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102"/>
      <c r="X1" s="103" t="s">
        <v>575</v>
      </c>
      <c r="AI1" s="104"/>
      <c r="AJ1" s="103" t="s">
        <v>576</v>
      </c>
      <c r="AU1" s="105"/>
      <c r="AV1" s="103" t="s">
        <v>577</v>
      </c>
      <c r="BG1" s="106"/>
      <c r="BH1" s="103" t="s">
        <v>578</v>
      </c>
      <c r="BS1" s="107"/>
      <c r="BT1" s="103" t="s">
        <v>579</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9"/>
      <c r="X2" s="103" t="s">
        <v>580</v>
      </c>
      <c r="AI2" s="110"/>
      <c r="AJ2" s="103" t="s">
        <v>581</v>
      </c>
      <c r="AU2" s="111"/>
      <c r="AV2" s="103" t="s">
        <v>223</v>
      </c>
      <c r="BG2" s="112"/>
      <c r="BH2" s="103" t="s">
        <v>330</v>
      </c>
      <c r="BS2" s="113"/>
      <c r="BT2" s="103" t="s">
        <v>582</v>
      </c>
    </row>
    <row r="3" customFormat="false" ht="15" hidden="false" customHeight="false" outlineLevel="0" collapsed="false">
      <c r="A3" s="8" t="s">
        <v>583</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Dec 99</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Jan 00</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Feb 00</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Mar 00</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Apr 00</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May 00</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449</v>
      </c>
      <c r="B5" s="9" t="s">
        <v>207</v>
      </c>
      <c r="C5" s="9" t="s">
        <v>187</v>
      </c>
      <c r="D5" s="9" t="s">
        <v>584</v>
      </c>
      <c r="E5" s="9" t="s">
        <v>467</v>
      </c>
      <c r="F5" s="9" t="s">
        <v>209</v>
      </c>
      <c r="G5" s="9" t="s">
        <v>227</v>
      </c>
      <c r="H5" s="9" t="s">
        <v>210</v>
      </c>
      <c r="I5" s="9" t="s">
        <v>585</v>
      </c>
      <c r="J5" s="9" t="s">
        <v>225</v>
      </c>
      <c r="K5" s="9" t="s">
        <v>97</v>
      </c>
      <c r="L5" s="40" t="s">
        <v>494</v>
      </c>
      <c r="M5" s="40" t="s">
        <v>497</v>
      </c>
      <c r="N5" s="40" t="s">
        <v>586</v>
      </c>
      <c r="O5" s="40" t="s">
        <v>587</v>
      </c>
      <c r="P5" s="40" t="s">
        <v>588</v>
      </c>
      <c r="Q5" s="40" t="s">
        <v>589</v>
      </c>
      <c r="R5" s="40" t="s">
        <v>590</v>
      </c>
      <c r="S5" s="40" t="s">
        <v>591</v>
      </c>
      <c r="T5" s="40" t="s">
        <v>592</v>
      </c>
      <c r="U5" s="40" t="s">
        <v>593</v>
      </c>
      <c r="W5" s="116" t="n">
        <f aca="false">GanttStart+(COLUMN()-COLUMN(gantt_Origin)-1)*GanttPeriod</f>
        <v>-5</v>
      </c>
      <c r="X5" s="116" t="n">
        <f aca="false">GanttStart+(COLUMN()-COLUMN(gantt_Origin)-1)*GanttPeriod</f>
        <v>-4</v>
      </c>
      <c r="Y5" s="116" t="n">
        <f aca="false">GanttStart+(COLUMN()-COLUMN(gantt_Origin)-1)*GanttPeriod</f>
        <v>-3</v>
      </c>
      <c r="Z5" s="116" t="n">
        <f aca="false">GanttStart+(COLUMN()-COLUMN(gantt_Origin)-1)*GanttPeriod</f>
        <v>-2</v>
      </c>
      <c r="AA5" s="116" t="n">
        <f aca="false">GanttStart+(COLUMN()-COLUMN(gantt_Origin)-1)*GanttPeriod</f>
        <v>-1</v>
      </c>
      <c r="AB5" s="116" t="n">
        <f aca="false">GanttStart+(COLUMN()-COLUMN(gantt_Origin)-1)*GanttPeriod</f>
        <v>0</v>
      </c>
      <c r="AC5" s="116" t="n">
        <f aca="false">GanttStart+(COLUMN()-COLUMN(gantt_Origin)-1)*GanttPeriod</f>
        <v>1</v>
      </c>
      <c r="AD5" s="116" t="n">
        <f aca="false">GanttStart+(COLUMN()-COLUMN(gantt_Origin)-1)*GanttPeriod</f>
        <v>2</v>
      </c>
      <c r="AE5" s="116" t="n">
        <f aca="false">GanttStart+(COLUMN()-COLUMN(gantt_Origin)-1)*GanttPeriod</f>
        <v>3</v>
      </c>
      <c r="AF5" s="116" t="n">
        <f aca="false">GanttStart+(COLUMN()-COLUMN(gantt_Origin)-1)*GanttPeriod</f>
        <v>4</v>
      </c>
      <c r="AG5" s="116" t="n">
        <f aca="false">GanttStart+(COLUMN()-COLUMN(gantt_Origin)-1)*GanttPeriod</f>
        <v>5</v>
      </c>
      <c r="AH5" s="116" t="n">
        <f aca="false">GanttStart+(COLUMN()-COLUMN(gantt_Origin)-1)*GanttPeriod</f>
        <v>6</v>
      </c>
      <c r="AI5" s="116" t="n">
        <f aca="false">GanttStart+(COLUMN()-COLUMN(gantt_Origin)-1)*GanttPeriod</f>
        <v>7</v>
      </c>
      <c r="AJ5" s="116" t="n">
        <f aca="false">GanttStart+(COLUMN()-COLUMN(gantt_Origin)-1)*GanttPeriod</f>
        <v>8</v>
      </c>
      <c r="AK5" s="116" t="n">
        <f aca="false">GanttStart+(COLUMN()-COLUMN(gantt_Origin)-1)*GanttPeriod</f>
        <v>9</v>
      </c>
      <c r="AL5" s="116" t="n">
        <f aca="false">GanttStart+(COLUMN()-COLUMN(gantt_Origin)-1)*GanttPeriod</f>
        <v>10</v>
      </c>
      <c r="AM5" s="116" t="n">
        <f aca="false">GanttStart+(COLUMN()-COLUMN(gantt_Origin)-1)*GanttPeriod</f>
        <v>11</v>
      </c>
      <c r="AN5" s="116" t="n">
        <f aca="false">GanttStart+(COLUMN()-COLUMN(gantt_Origin)-1)*GanttPeriod</f>
        <v>12</v>
      </c>
      <c r="AO5" s="116" t="n">
        <f aca="false">GanttStart+(COLUMN()-COLUMN(gantt_Origin)-1)*GanttPeriod</f>
        <v>13</v>
      </c>
      <c r="AP5" s="116" t="n">
        <f aca="false">GanttStart+(COLUMN()-COLUMN(gantt_Origin)-1)*GanttPeriod</f>
        <v>14</v>
      </c>
      <c r="AQ5" s="116" t="n">
        <f aca="false">GanttStart+(COLUMN()-COLUMN(gantt_Origin)-1)*GanttPeriod</f>
        <v>15</v>
      </c>
      <c r="AR5" s="116" t="n">
        <f aca="false">GanttStart+(COLUMN()-COLUMN(gantt_Origin)-1)*GanttPeriod</f>
        <v>16</v>
      </c>
      <c r="AS5" s="116" t="n">
        <f aca="false">GanttStart+(COLUMN()-COLUMN(gantt_Origin)-1)*GanttPeriod</f>
        <v>17</v>
      </c>
      <c r="AT5" s="116" t="n">
        <f aca="false">GanttStart+(COLUMN()-COLUMN(gantt_Origin)-1)*GanttPeriod</f>
        <v>18</v>
      </c>
      <c r="AU5" s="116" t="n">
        <f aca="false">GanttStart+(COLUMN()-COLUMN(gantt_Origin)-1)*GanttPeriod</f>
        <v>19</v>
      </c>
      <c r="AV5" s="116" t="n">
        <f aca="false">GanttStart+(COLUMN()-COLUMN(gantt_Origin)-1)*GanttPeriod</f>
        <v>20</v>
      </c>
      <c r="AW5" s="116" t="n">
        <f aca="false">GanttStart+(COLUMN()-COLUMN(gantt_Origin)-1)*GanttPeriod</f>
        <v>21</v>
      </c>
      <c r="AX5" s="116" t="n">
        <f aca="false">GanttStart+(COLUMN()-COLUMN(gantt_Origin)-1)*GanttPeriod</f>
        <v>22</v>
      </c>
      <c r="AY5" s="116" t="n">
        <f aca="false">GanttStart+(COLUMN()-COLUMN(gantt_Origin)-1)*GanttPeriod</f>
        <v>23</v>
      </c>
      <c r="AZ5" s="116" t="n">
        <f aca="false">GanttStart+(COLUMN()-COLUMN(gantt_Origin)-1)*GanttPeriod</f>
        <v>24</v>
      </c>
      <c r="BA5" s="116" t="n">
        <f aca="false">GanttStart+(COLUMN()-COLUMN(gantt_Origin)-1)*GanttPeriod</f>
        <v>25</v>
      </c>
      <c r="BB5" s="116" t="n">
        <f aca="false">GanttStart+(COLUMN()-COLUMN(gantt_Origin)-1)*GanttPeriod</f>
        <v>26</v>
      </c>
      <c r="BC5" s="116" t="n">
        <f aca="false">GanttStart+(COLUMN()-COLUMN(gantt_Origin)-1)*GanttPeriod</f>
        <v>27</v>
      </c>
      <c r="BD5" s="116" t="n">
        <f aca="false">GanttStart+(COLUMN()-COLUMN(gantt_Origin)-1)*GanttPeriod</f>
        <v>28</v>
      </c>
      <c r="BE5" s="116" t="n">
        <f aca="false">GanttStart+(COLUMN()-COLUMN(gantt_Origin)-1)*GanttPeriod</f>
        <v>29</v>
      </c>
      <c r="BF5" s="116" t="n">
        <f aca="false">GanttStart+(COLUMN()-COLUMN(gantt_Origin)-1)*GanttPeriod</f>
        <v>30</v>
      </c>
      <c r="BG5" s="116" t="n">
        <f aca="false">GanttStart+(COLUMN()-COLUMN(gantt_Origin)-1)*GanttPeriod</f>
        <v>31</v>
      </c>
      <c r="BH5" s="116" t="n">
        <f aca="false">GanttStart+(COLUMN()-COLUMN(gantt_Origin)-1)*GanttPeriod</f>
        <v>32</v>
      </c>
      <c r="BI5" s="116" t="n">
        <f aca="false">GanttStart+(COLUMN()-COLUMN(gantt_Origin)-1)*GanttPeriod</f>
        <v>33</v>
      </c>
      <c r="BJ5" s="116" t="n">
        <f aca="false">GanttStart+(COLUMN()-COLUMN(gantt_Origin)-1)*GanttPeriod</f>
        <v>34</v>
      </c>
      <c r="BK5" s="116" t="n">
        <f aca="false">GanttStart+(COLUMN()-COLUMN(gantt_Origin)-1)*GanttPeriod</f>
        <v>35</v>
      </c>
      <c r="BL5" s="116" t="n">
        <f aca="false">GanttStart+(COLUMN()-COLUMN(gantt_Origin)-1)*GanttPeriod</f>
        <v>36</v>
      </c>
      <c r="BM5" s="116" t="n">
        <f aca="false">GanttStart+(COLUMN()-COLUMN(gantt_Origin)-1)*GanttPeriod</f>
        <v>37</v>
      </c>
      <c r="BN5" s="116" t="n">
        <f aca="false">GanttStart+(COLUMN()-COLUMN(gantt_Origin)-1)*GanttPeriod</f>
        <v>38</v>
      </c>
      <c r="BO5" s="116" t="n">
        <f aca="false">GanttStart+(COLUMN()-COLUMN(gantt_Origin)-1)*GanttPeriod</f>
        <v>39</v>
      </c>
      <c r="BP5" s="116" t="n">
        <f aca="false">GanttStart+(COLUMN()-COLUMN(gantt_Origin)-1)*GanttPeriod</f>
        <v>40</v>
      </c>
      <c r="BQ5" s="116" t="n">
        <f aca="false">GanttStart+(COLUMN()-COLUMN(gantt_Origin)-1)*GanttPeriod</f>
        <v>41</v>
      </c>
      <c r="BR5" s="116" t="n">
        <f aca="false">GanttStart+(COLUMN()-COLUMN(gantt_Origin)-1)*GanttPeriod</f>
        <v>42</v>
      </c>
      <c r="BS5" s="116" t="n">
        <f aca="false">GanttStart+(COLUMN()-COLUMN(gantt_Origin)-1)*GanttPeriod</f>
        <v>43</v>
      </c>
      <c r="BT5" s="116" t="n">
        <f aca="false">GanttStart+(COLUMN()-COLUMN(gantt_Origin)-1)*GanttPeriod</f>
        <v>44</v>
      </c>
      <c r="BU5" s="116" t="n">
        <f aca="false">GanttStart+(COLUMN()-COLUMN(gantt_Origin)-1)*GanttPeriod</f>
        <v>45</v>
      </c>
      <c r="BV5" s="116" t="n">
        <f aca="false">GanttStart+(COLUMN()-COLUMN(gantt_Origin)-1)*GanttPeriod</f>
        <v>46</v>
      </c>
      <c r="BW5" s="116" t="n">
        <f aca="false">GanttStart+(COLUMN()-COLUMN(gantt_Origin)-1)*GanttPeriod</f>
        <v>47</v>
      </c>
      <c r="BX5" s="116" t="n">
        <f aca="false">GanttStart+(COLUMN()-COLUMN(gantt_Origin)-1)*GanttPeriod</f>
        <v>48</v>
      </c>
      <c r="BY5" s="116" t="n">
        <f aca="false">GanttStart+(COLUMN()-COLUMN(gantt_Origin)-1)*GanttPeriod</f>
        <v>49</v>
      </c>
      <c r="BZ5" s="116" t="n">
        <f aca="false">GanttStart+(COLUMN()-COLUMN(gantt_Origin)-1)*GanttPeriod</f>
        <v>50</v>
      </c>
      <c r="CA5" s="116" t="n">
        <f aca="false">GanttStart+(COLUMN()-COLUMN(gantt_Origin)-1)*GanttPeriod</f>
        <v>51</v>
      </c>
      <c r="CB5" s="116" t="n">
        <f aca="false">GanttStart+(COLUMN()-COLUMN(gantt_Origin)-1)*GanttPeriod</f>
        <v>52</v>
      </c>
      <c r="CC5" s="116" t="n">
        <f aca="false">GanttStart+(COLUMN()-COLUMN(gantt_Origin)-1)*GanttPeriod</f>
        <v>53</v>
      </c>
      <c r="CD5" s="116" t="n">
        <f aca="false">GanttStart+(COLUMN()-COLUMN(gantt_Origin)-1)*GanttPeriod</f>
        <v>54</v>
      </c>
      <c r="CE5" s="116" t="n">
        <f aca="false">GanttStart+(COLUMN()-COLUMN(gantt_Origin)-1)*GanttPeriod</f>
        <v>55</v>
      </c>
      <c r="CF5" s="116" t="n">
        <f aca="false">GanttStart+(COLUMN()-COLUMN(gantt_Origin)-1)*GanttPeriod</f>
        <v>56</v>
      </c>
      <c r="CG5" s="116" t="n">
        <f aca="false">GanttStart+(COLUMN()-COLUMN(gantt_Origin)-1)*GanttPeriod</f>
        <v>57</v>
      </c>
      <c r="CH5" s="116" t="n">
        <f aca="false">GanttStart+(COLUMN()-COLUMN(gantt_Origin)-1)*GanttPeriod</f>
        <v>58</v>
      </c>
      <c r="CI5" s="116" t="n">
        <f aca="false">GanttStart+(COLUMN()-COLUMN(gantt_Origin)-1)*GanttPeriod</f>
        <v>59</v>
      </c>
      <c r="CJ5" s="116" t="n">
        <f aca="false">GanttStart+(COLUMN()-COLUMN(gantt_Origin)-1)*GanttPeriod</f>
        <v>60</v>
      </c>
      <c r="CK5" s="116" t="n">
        <f aca="false">GanttStart+(COLUMN()-COLUMN(gantt_Origin)-1)*GanttPeriod</f>
        <v>61</v>
      </c>
      <c r="CL5" s="116" t="n">
        <f aca="false">GanttStart+(COLUMN()-COLUMN(gantt_Origin)-1)*GanttPeriod</f>
        <v>62</v>
      </c>
      <c r="CM5" s="116" t="n">
        <f aca="false">GanttStart+(COLUMN()-COLUMN(gantt_Origin)-1)*GanttPeriod</f>
        <v>63</v>
      </c>
      <c r="CN5" s="116" t="n">
        <f aca="false">GanttStart+(COLUMN()-COLUMN(gantt_Origin)-1)*GanttPeriod</f>
        <v>64</v>
      </c>
      <c r="CO5" s="116" t="n">
        <f aca="false">GanttStart+(COLUMN()-COLUMN(gantt_Origin)-1)*GanttPeriod</f>
        <v>65</v>
      </c>
      <c r="CP5" s="116" t="n">
        <f aca="false">GanttStart+(COLUMN()-COLUMN(gantt_Origin)-1)*GanttPeriod</f>
        <v>66</v>
      </c>
      <c r="CQ5" s="116" t="n">
        <f aca="false">GanttStart+(COLUMN()-COLUMN(gantt_Origin)-1)*GanttPeriod</f>
        <v>67</v>
      </c>
      <c r="CR5" s="116" t="n">
        <f aca="false">GanttStart+(COLUMN()-COLUMN(gantt_Origin)-1)*GanttPeriod</f>
        <v>68</v>
      </c>
      <c r="CS5" s="116" t="n">
        <f aca="false">GanttStart+(COLUMN()-COLUMN(gantt_Origin)-1)*GanttPeriod</f>
        <v>69</v>
      </c>
      <c r="CT5" s="116" t="n">
        <f aca="false">GanttStart+(COLUMN()-COLUMN(gantt_Origin)-1)*GanttPeriod</f>
        <v>70</v>
      </c>
      <c r="CU5" s="116" t="n">
        <f aca="false">GanttStart+(COLUMN()-COLUMN(gantt_Origin)-1)*GanttPeriod</f>
        <v>71</v>
      </c>
      <c r="CV5" s="116" t="n">
        <f aca="false">GanttStart+(COLUMN()-COLUMN(gantt_Origin)-1)*GanttPeriod</f>
        <v>72</v>
      </c>
      <c r="CW5" s="116" t="n">
        <f aca="false">GanttStart+(COLUMN()-COLUMN(gantt_Origin)-1)*GanttPeriod</f>
        <v>73</v>
      </c>
      <c r="CX5" s="116" t="n">
        <f aca="false">GanttStart+(COLUMN()-COLUMN(gantt_Origin)-1)*GanttPeriod</f>
        <v>74</v>
      </c>
      <c r="CY5" s="116" t="n">
        <f aca="false">GanttStart+(COLUMN()-COLUMN(gantt_Origin)-1)*GanttPeriod</f>
        <v>75</v>
      </c>
      <c r="CZ5" s="116" t="n">
        <f aca="false">GanttStart+(COLUMN()-COLUMN(gantt_Origin)-1)*GanttPeriod</f>
        <v>76</v>
      </c>
      <c r="DA5" s="116" t="n">
        <f aca="false">GanttStart+(COLUMN()-COLUMN(gantt_Origin)-1)*GanttPeriod</f>
        <v>77</v>
      </c>
      <c r="DB5" s="116" t="n">
        <f aca="false">GanttStart+(COLUMN()-COLUMN(gantt_Origin)-1)*GanttPeriod</f>
        <v>78</v>
      </c>
      <c r="DC5" s="116" t="n">
        <f aca="false">GanttStart+(COLUMN()-COLUMN(gantt_Origin)-1)*GanttPeriod</f>
        <v>79</v>
      </c>
      <c r="DD5" s="116" t="n">
        <f aca="false">GanttStart+(COLUMN()-COLUMN(gantt_Origin)-1)*GanttPeriod</f>
        <v>80</v>
      </c>
      <c r="DE5" s="116" t="n">
        <f aca="false">GanttStart+(COLUMN()-COLUMN(gantt_Origin)-1)*GanttPeriod</f>
        <v>81</v>
      </c>
      <c r="DF5" s="116" t="n">
        <f aca="false">GanttStart+(COLUMN()-COLUMN(gantt_Origin)-1)*GanttPeriod</f>
        <v>82</v>
      </c>
      <c r="DG5" s="116" t="n">
        <f aca="false">GanttStart+(COLUMN()-COLUMN(gantt_Origin)-1)*GanttPeriod</f>
        <v>83</v>
      </c>
      <c r="DH5" s="116" t="n">
        <f aca="false">GanttStart+(COLUMN()-COLUMN(gantt_Origin)-1)*GanttPeriod</f>
        <v>84</v>
      </c>
      <c r="DI5" s="116" t="n">
        <f aca="false">GanttStart+(COLUMN()-COLUMN(gantt_Origin)-1)*GanttPeriod</f>
        <v>85</v>
      </c>
      <c r="DJ5" s="116" t="n">
        <f aca="false">GanttStart+(COLUMN()-COLUMN(gantt_Origin)-1)*GanttPeriod</f>
        <v>86</v>
      </c>
      <c r="DK5" s="116" t="n">
        <f aca="false">GanttStart+(COLUMN()-COLUMN(gantt_Origin)-1)*GanttPeriod</f>
        <v>87</v>
      </c>
      <c r="DL5" s="116" t="n">
        <f aca="false">GanttStart+(COLUMN()-COLUMN(gantt_Origin)-1)*GanttPeriod</f>
        <v>88</v>
      </c>
      <c r="DM5" s="116" t="n">
        <f aca="false">GanttStart+(COLUMN()-COLUMN(gantt_Origin)-1)*GanttPeriod</f>
        <v>89</v>
      </c>
      <c r="DN5" s="116" t="n">
        <f aca="false">GanttStart+(COLUMN()-COLUMN(gantt_Origin)-1)*GanttPeriod</f>
        <v>90</v>
      </c>
      <c r="DO5" s="116" t="n">
        <f aca="false">GanttStart+(COLUMN()-COLUMN(gantt_Origin)-1)*GanttPeriod</f>
        <v>91</v>
      </c>
      <c r="DP5" s="116" t="n">
        <f aca="false">GanttStart+(COLUMN()-COLUMN(gantt_Origin)-1)*GanttPeriod</f>
        <v>92</v>
      </c>
      <c r="DQ5" s="116" t="n">
        <f aca="false">GanttStart+(COLUMN()-COLUMN(gantt_Origin)-1)*GanttPeriod</f>
        <v>93</v>
      </c>
      <c r="DR5" s="116" t="n">
        <f aca="false">GanttStart+(COLUMN()-COLUMN(gantt_Origin)-1)*GanttPeriod</f>
        <v>94</v>
      </c>
      <c r="DS5" s="116" t="n">
        <f aca="false">GanttStart+(COLUMN()-COLUMN(gantt_Origin)-1)*GanttPeriod</f>
        <v>95</v>
      </c>
      <c r="DT5" s="116" t="n">
        <f aca="false">GanttStart+(COLUMN()-COLUMN(gantt_Origin)-1)*GanttPeriod</f>
        <v>96</v>
      </c>
      <c r="DU5" s="116" t="n">
        <f aca="false">GanttStart+(COLUMN()-COLUMN(gantt_Origin)-1)*GanttPeriod</f>
        <v>97</v>
      </c>
      <c r="DV5" s="116" t="n">
        <f aca="false">GanttStart+(COLUMN()-COLUMN(gantt_Origin)-1)*GanttPeriod</f>
        <v>98</v>
      </c>
      <c r="DW5" s="116" t="n">
        <f aca="false">GanttStart+(COLUMN()-COLUMN(gantt_Origin)-1)*GanttPeriod</f>
        <v>99</v>
      </c>
      <c r="DX5" s="116" t="n">
        <f aca="false">GanttStart+(COLUMN()-COLUMN(gantt_Origin)-1)*GanttPeriod</f>
        <v>100</v>
      </c>
      <c r="DY5" s="116" t="n">
        <f aca="false">GanttStart+(COLUMN()-COLUMN(gantt_Origin)-1)*GanttPeriod</f>
        <v>101</v>
      </c>
      <c r="DZ5" s="116" t="n">
        <f aca="false">GanttStart+(COLUMN()-COLUMN(gantt_Origin)-1)*GanttPeriod</f>
        <v>102</v>
      </c>
      <c r="EA5" s="116" t="n">
        <f aca="false">GanttStart+(COLUMN()-COLUMN(gantt_Origin)-1)*GanttPeriod</f>
        <v>103</v>
      </c>
      <c r="EB5" s="116" t="n">
        <f aca="false">GanttStart+(COLUMN()-COLUMN(gantt_Origin)-1)*GanttPeriod</f>
        <v>104</v>
      </c>
      <c r="EC5" s="116" t="n">
        <f aca="false">GanttStart+(COLUMN()-COLUMN(gantt_Origin)-1)*GanttPeriod</f>
        <v>105</v>
      </c>
      <c r="ED5" s="116" t="n">
        <f aca="false">GanttStart+(COLUMN()-COLUMN(gantt_Origin)-1)*GanttPeriod</f>
        <v>106</v>
      </c>
      <c r="EE5" s="116" t="n">
        <f aca="false">GanttStart+(COLUMN()-COLUMN(gantt_Origin)-1)*GanttPeriod</f>
        <v>107</v>
      </c>
      <c r="EF5" s="116" t="n">
        <f aca="false">GanttStart+(COLUMN()-COLUMN(gantt_Origin)-1)*GanttPeriod</f>
        <v>108</v>
      </c>
      <c r="EG5" s="116" t="n">
        <f aca="false">GanttStart+(COLUMN()-COLUMN(gantt_Origin)-1)*GanttPeriod</f>
        <v>109</v>
      </c>
      <c r="EH5" s="116" t="n">
        <f aca="false">GanttStart+(COLUMN()-COLUMN(gantt_Origin)-1)*GanttPeriod</f>
        <v>110</v>
      </c>
      <c r="EI5" s="116" t="n">
        <f aca="false">GanttStart+(COLUMN()-COLUMN(gantt_Origin)-1)*GanttPeriod</f>
        <v>111</v>
      </c>
      <c r="EJ5" s="116" t="n">
        <f aca="false">GanttStart+(COLUMN()-COLUMN(gantt_Origin)-1)*GanttPeriod</f>
        <v>112</v>
      </c>
      <c r="EK5" s="116" t="n">
        <f aca="false">GanttStart+(COLUMN()-COLUMN(gantt_Origin)-1)*GanttPeriod</f>
        <v>113</v>
      </c>
      <c r="EL5" s="116" t="n">
        <f aca="false">GanttStart+(COLUMN()-COLUMN(gantt_Origin)-1)*GanttPeriod</f>
        <v>114</v>
      </c>
      <c r="EM5" s="116" t="n">
        <f aca="false">GanttStart+(COLUMN()-COLUMN(gantt_Origin)-1)*GanttPeriod</f>
        <v>115</v>
      </c>
      <c r="EN5" s="116" t="n">
        <f aca="false">GanttStart+(COLUMN()-COLUMN(gantt_Origin)-1)*GanttPeriod</f>
        <v>116</v>
      </c>
      <c r="EO5" s="116" t="n">
        <f aca="false">GanttStart+(COLUMN()-COLUMN(gantt_Origin)-1)*GanttPeriod</f>
        <v>117</v>
      </c>
      <c r="EP5" s="116" t="n">
        <f aca="false">GanttStart+(COLUMN()-COLUMN(gantt_Origin)-1)*GanttPeriod</f>
        <v>118</v>
      </c>
      <c r="EQ5" s="116" t="n">
        <f aca="false">GanttStart+(COLUMN()-COLUMN(gantt_Origin)-1)*GanttPeriod</f>
        <v>119</v>
      </c>
      <c r="ER5" s="116" t="n">
        <f aca="false">GanttStart+(COLUMN()-COLUMN(gantt_Origin)-1)*GanttPeriod</f>
        <v>120</v>
      </c>
      <c r="ES5" s="116" t="n">
        <f aca="false">GanttStart+(COLUMN()-COLUMN(gantt_Origin)-1)*GanttPeriod</f>
        <v>121</v>
      </c>
      <c r="ET5" s="116" t="n">
        <f aca="false">GanttStart+(COLUMN()-COLUMN(gantt_Origin)-1)*GanttPeriod</f>
        <v>122</v>
      </c>
      <c r="EU5" s="116" t="n">
        <f aca="false">GanttStart+(COLUMN()-COLUMN(gantt_Origin)-1)*GanttPeriod</f>
        <v>123</v>
      </c>
      <c r="EV5" s="116" t="n">
        <f aca="false">GanttStart+(COLUMN()-COLUMN(gantt_Origin)-1)*GanttPeriod</f>
        <v>124</v>
      </c>
      <c r="EW5" s="116" t="n">
        <f aca="false">GanttStart+(COLUMN()-COLUMN(gantt_Origin)-1)*GanttPeriod</f>
        <v>125</v>
      </c>
      <c r="EX5" s="116" t="n">
        <f aca="false">GanttStart+(COLUMN()-COLUMN(gantt_Origin)-1)*GanttPeriod</f>
        <v>126</v>
      </c>
      <c r="EY5" s="116" t="n">
        <f aca="false">GanttStart+(COLUMN()-COLUMN(gantt_Origin)-1)*GanttPeriod</f>
        <v>127</v>
      </c>
      <c r="EZ5" s="116" t="n">
        <f aca="false">GanttStart+(COLUMN()-COLUMN(gantt_Origin)-1)*GanttPeriod</f>
        <v>128</v>
      </c>
      <c r="FA5" s="116" t="n">
        <f aca="false">GanttStart+(COLUMN()-COLUMN(gantt_Origin)-1)*GanttPeriod</f>
        <v>129</v>
      </c>
      <c r="FB5" s="116" t="n">
        <f aca="false">GanttStart+(COLUMN()-COLUMN(gantt_Origin)-1)*GanttPeriod</f>
        <v>130</v>
      </c>
      <c r="FC5" s="116" t="n">
        <f aca="false">GanttStart+(COLUMN()-COLUMN(gantt_Origin)-1)*GanttPeriod</f>
        <v>131</v>
      </c>
      <c r="FD5" s="116" t="n">
        <f aca="false">GanttStart+(COLUMN()-COLUMN(gantt_Origin)-1)*GanttPeriod</f>
        <v>132</v>
      </c>
      <c r="FE5" s="116" t="n">
        <f aca="false">GanttStart+(COLUMN()-COLUMN(gantt_Origin)-1)*GanttPeriod</f>
        <v>133</v>
      </c>
      <c r="FF5" s="116" t="n">
        <f aca="false">GanttStart+(COLUMN()-COLUMN(gantt_Origin)-1)*GanttPeriod</f>
        <v>134</v>
      </c>
      <c r="FG5" s="116" t="n">
        <f aca="false">GanttStart+(COLUMN()-COLUMN(gantt_Origin)-1)*GanttPeriod</f>
        <v>135</v>
      </c>
      <c r="FH5" s="116" t="n">
        <f aca="false">GanttStart+(COLUMN()-COLUMN(gantt_Origin)-1)*GanttPeriod</f>
        <v>136</v>
      </c>
      <c r="FI5" s="116" t="n">
        <f aca="false">GanttStart+(COLUMN()-COLUMN(gantt_Origin)-1)*GanttPeriod</f>
        <v>137</v>
      </c>
      <c r="FJ5" s="116" t="n">
        <f aca="false">GanttStart+(COLUMN()-COLUMN(gantt_Origin)-1)*GanttPeriod</f>
        <v>138</v>
      </c>
      <c r="FK5" s="116" t="n">
        <f aca="false">GanttStart+(COLUMN()-COLUMN(gantt_Origin)-1)*GanttPeriod</f>
        <v>139</v>
      </c>
      <c r="FL5" s="116" t="n">
        <f aca="false">GanttStart+(COLUMN()-COLUMN(gantt_Origin)-1)*GanttPeriod</f>
        <v>140</v>
      </c>
      <c r="FM5" s="116" t="n">
        <f aca="false">GanttStart+(COLUMN()-COLUMN(gantt_Origin)-1)*GanttPeriod</f>
        <v>141</v>
      </c>
      <c r="FN5" s="116" t="n">
        <f aca="false">GanttStart+(COLUMN()-COLUMN(gantt_Origin)-1)*GanttPeriod</f>
        <v>142</v>
      </c>
      <c r="FO5" s="116" t="n">
        <f aca="false">GanttStart+(COLUMN()-COLUMN(gantt_Origin)-1)*GanttPeriod</f>
        <v>143</v>
      </c>
      <c r="FP5" s="116" t="n">
        <f aca="false">GanttStart+(COLUMN()-COLUMN(gantt_Origin)-1)*GanttPeriod</f>
        <v>144</v>
      </c>
    </row>
    <row r="6" customFormat="false" ht="15" hidden="false" customHeight="false" outlineLevel="0" collapsed="false">
      <c r="A6" s="117" t="str">
        <f aca="false">IF(IFERROR(INDEX(tsk_Name,GanttView[[#This Row],[_Row]])="",TRUE()),"",INDEX(tsk_ID,GanttView[[#This Row],[_Row]]))</f>
        <v/>
      </c>
      <c r="B6" s="117" t="str">
        <f aca="false">IF(IFERROR(INDEX(tsk_Name,GanttView[[#This Row],[_Row]])="",TRUE()),"",INDEX(tsk_WBS,GanttView[[#This Row],[_Row]]))</f>
        <v/>
      </c>
      <c r="C6" s="118" t="str">
        <f aca="false">IF(IFERROR(INDEX(tsk_Name,GanttView[[#This Row],[_Row]])="",TRUE()),"",REPT("    ",INDEX(tsk_Level,GanttView[[#This Row],[_Row]])-1)&amp;INDEX(tsk_Name,GanttView[[#This Row],[_Row]]))</f>
        <v/>
      </c>
      <c r="D6" s="117" t="str">
        <f aca="false">IF(IFERROR(INDEX(tsk_Name,GanttView[[#This Row],[_Row]])="",TRUE()),"",IF(INDEX(tsk_IsSummary,GanttView[[#This Row],[_Row]]),NETWORKDAYS.INTL(INDEX(tsk_FcStart,GanttView[[#This Row],[_Row]]),INDEX(tsk_FcFinish,GanttView[[#This Row],[_Row]]),WorkWeek,Holidays),N(INDEX(tsk_Duration,GanttView[[#This Row],[_Row]]))))</f>
        <v/>
      </c>
      <c r="E6" s="119" t="str">
        <f aca="false">IF(IFERROR(INDEX(tsk_Name,GanttView[[#This Row],[_Row]])="",TRUE()),"",INDEX(tsk_PlanStart,GanttView[[#This Row],[_Row]]))</f>
        <v/>
      </c>
      <c r="F6" s="119" t="str">
        <f aca="false">IF(IFERROR(INDEX(tsk_Name,GanttView[[#This Row],[_Row]])="",TRUE()),"",INDEX(tsk_PlanFinish,GanttView[[#This Row],[_Row]]))</f>
        <v/>
      </c>
      <c r="G6" s="119" t="str">
        <f aca="false">IF(IFERROR(INDEX(tsk_Name,GanttView[[#This Row],[_Row]])="",TRUE()),"",INDEX(tsk_FcStart,GanttView[[#This Row],[_Row]]))</f>
        <v/>
      </c>
      <c r="H6" s="119" t="str">
        <f aca="false">IF(IFERROR(INDEX(tsk_Name,GanttView[[#This Row],[_Row]])="",TRUE()),"",INDEX(tsk_FcFinish,GanttView[[#This Row],[_Row]]))</f>
        <v/>
      </c>
      <c r="I6" s="120" t="str">
        <f aca="false">IF(IFERROR(INDEX(tsk_Name,GanttView[[#This Row],[_Row]])="",TRUE()),"",INDEX(tsk_Progress,GanttView[[#This Row],[_Row]]))</f>
        <v/>
      </c>
      <c r="J6" s="118" t="str">
        <f aca="false">IF(IFERROR(INDEX(tsk_Name,GanttView[[#This Row],[_Row]])="",TRUE()),"",INDEX(tsk_ResourceNames,GanttView[[#This Row],[_Row]])&amp;"")</f>
        <v/>
      </c>
      <c r="K6" s="117" t="str">
        <f aca="false">IF(IFERROR(INDEX(tsk_Name,GanttView[[#This Row],[_Row]])="",TRUE()),"",INDEX(tsk_Status,GanttView[[#This Row],[_Row]]))</f>
        <v/>
      </c>
      <c r="L6" s="121" t="n">
        <f aca="false">ROW()-ROW(GanttView[[#Headers],[ID]])</f>
        <v>1</v>
      </c>
      <c r="M6" s="122" t="b">
        <f aca="false">IF(IFERROR(INDEX(tsk_Name,GanttView[[#This Row],[_Row]])="",TRUE()),FALSE(),INDEX(tsk_IsSummary,GanttView[[#This Row],[_Row]]))</f>
        <v>0</v>
      </c>
      <c r="N6" s="122" t="b">
        <f aca="false">IF(IFERROR(INDEX(tsk_Name,GanttView[[#This Row],[_Row]])="",TRUE()),FALSE(),AND(INDEX(tsk_IsLeaf,GanttView[[#This Row],[_Row]])=1,N(INDEX(tsk_Duration,GanttView[[#This Row],[_Row]]))=0))</f>
        <v>0</v>
      </c>
      <c r="O6" s="123" t="n">
        <f aca="false">IF(IFERROR(INDEX(tsk_Name,GanttView[[#This Row],[_Row]])="",TRUE()),0,IF(AND(INDEX(tsk_IsLeaf,GanttView[[#This Row],[_Row]])=1,NOT(GanttView[[#This Row],[_IsMilestone]]),N(GanttView[[#This Row],[%]])&gt;0),GanttView[[#This Row],[Forecast Start]],0))</f>
        <v>0</v>
      </c>
      <c r="P6" s="123" t="n">
        <f aca="false">IF(GanttView[[#This Row],[_DoneFrom]]=0,0,IF(GanttView[[#This Row],[%]]&gt;=1,GanttView[[#This Row],[Forecast Finish]],MAX(GanttView[[#This Row],[_DoneFrom]],GanttView[[#This Row],[Forecast Start]]+ROUND((GanttView[[#This Row],[Forecast Finish]]-GanttView[[#This Row],[Forecast Start]]+1)*GanttView[[#This Row],[%]],0)-1)))</f>
        <v>0</v>
      </c>
      <c r="Q6" s="123" t="n">
        <f aca="false">IF(IFERROR(INDEX(tsk_Name,GanttView[[#This Row],[_Row]])="",TRUE()),0,IF(OR(INDEX(tsk_IsLeaf,GanttView[[#This Row],[_Row]])&lt;&gt;1,GanttView[[#This Row],[_IsMilestone]],N(GanttView[[#This Row],[%]])&gt;=1),0,IF(GanttView[[#This Row],[_DoneTo]]&gt;0,GanttView[[#This Row],[_DoneTo]]+1,GanttView[[#This Row],[Forecast Start]])))</f>
        <v>0</v>
      </c>
      <c r="R6" s="123" t="n">
        <f aca="false">IF(GanttView[[#This Row],[_RemFrom]]=0,0,GanttView[[#This Row],[Forecast Finish]])</f>
        <v>0</v>
      </c>
      <c r="S6" s="122" t="b">
        <f aca="false">IF(IFERROR(INDEX(tsk_Name,GanttView[[#This Row],[_Row]])="",TRUE()),FALSE(),N(INDEX(tsk_Variance,GanttView[[#This Row],[_Row]]))&gt;0)</f>
        <v>0</v>
      </c>
      <c r="T6" s="123" t="n">
        <f aca="false">IF(IFERROR(INDEX(tsk_Name,GanttView[[#This Row],[_Row]])="",TRUE()),0,N(INDEX(tsk_Deadline,GanttView[[#This Row],[_Row]])))</f>
        <v>0</v>
      </c>
      <c r="U6" s="122" t="b">
        <f aca="false">IF(IFERROR(INDEX(tsk_Name,GanttView[[#This Row],[_Row]])="",TRUE()),FALSE(),INDEX(tsk_Critical,GanttView[[#This Row],[_Row]])="Yes")</f>
        <v>0</v>
      </c>
    </row>
    <row r="7" customFormat="false" ht="15" hidden="false" customHeight="false" outlineLevel="0" collapsed="false">
      <c r="A7" s="117" t="str">
        <f aca="false">IF(IFERROR(INDEX(tsk_Name,GanttView[[#This Row],[_Row]])="",TRUE()),"",INDEX(tsk_ID,GanttView[[#This Row],[_Row]]))</f>
        <v/>
      </c>
      <c r="B7" s="117" t="str">
        <f aca="false">IF(IFERROR(INDEX(tsk_Name,GanttView[[#This Row],[_Row]])="",TRUE()),"",INDEX(tsk_WBS,GanttView[[#This Row],[_Row]]))</f>
        <v/>
      </c>
      <c r="C7" s="118" t="str">
        <f aca="false">IF(IFERROR(INDEX(tsk_Name,GanttView[[#This Row],[_Row]])="",TRUE()),"",REPT("    ",INDEX(tsk_Level,GanttView[[#This Row],[_Row]])-1)&amp;INDEX(tsk_Name,GanttView[[#This Row],[_Row]]))</f>
        <v/>
      </c>
      <c r="D7" s="117" t="str">
        <f aca="false">IF(IFERROR(INDEX(tsk_Name,GanttView[[#This Row],[_Row]])="",TRUE()),"",IF(INDEX(tsk_IsSummary,GanttView[[#This Row],[_Row]]),NETWORKDAYS.INTL(INDEX(tsk_FcStart,GanttView[[#This Row],[_Row]]),INDEX(tsk_FcFinish,GanttView[[#This Row],[_Row]]),WorkWeek,Holidays),N(INDEX(tsk_Duration,GanttView[[#This Row],[_Row]]))))</f>
        <v/>
      </c>
      <c r="E7" s="119" t="str">
        <f aca="false">IF(IFERROR(INDEX(tsk_Name,GanttView[[#This Row],[_Row]])="",TRUE()),"",INDEX(tsk_PlanStart,GanttView[[#This Row],[_Row]]))</f>
        <v/>
      </c>
      <c r="F7" s="119" t="str">
        <f aca="false">IF(IFERROR(INDEX(tsk_Name,GanttView[[#This Row],[_Row]])="",TRUE()),"",INDEX(tsk_PlanFinish,GanttView[[#This Row],[_Row]]))</f>
        <v/>
      </c>
      <c r="G7" s="119" t="str">
        <f aca="false">IF(IFERROR(INDEX(tsk_Name,GanttView[[#This Row],[_Row]])="",TRUE()),"",INDEX(tsk_FcStart,GanttView[[#This Row],[_Row]]))</f>
        <v/>
      </c>
      <c r="H7" s="119" t="str">
        <f aca="false">IF(IFERROR(INDEX(tsk_Name,GanttView[[#This Row],[_Row]])="",TRUE()),"",INDEX(tsk_FcFinish,GanttView[[#This Row],[_Row]]))</f>
        <v/>
      </c>
      <c r="I7" s="120" t="str">
        <f aca="false">IF(IFERROR(INDEX(tsk_Name,GanttView[[#This Row],[_Row]])="",TRUE()),"",INDEX(tsk_Progress,GanttView[[#This Row],[_Row]]))</f>
        <v/>
      </c>
      <c r="J7" s="118" t="str">
        <f aca="false">IF(IFERROR(INDEX(tsk_Name,GanttView[[#This Row],[_Row]])="",TRUE()),"",INDEX(tsk_ResourceNames,GanttView[[#This Row],[_Row]])&amp;"")</f>
        <v/>
      </c>
      <c r="K7" s="117" t="str">
        <f aca="false">IF(IFERROR(INDEX(tsk_Name,GanttView[[#This Row],[_Row]])="",TRUE()),"",INDEX(tsk_Status,GanttView[[#This Row],[_Row]]))</f>
        <v/>
      </c>
      <c r="L7" s="121" t="n">
        <f aca="false">ROW()-ROW(GanttView[[#Headers],[ID]])</f>
        <v>2</v>
      </c>
      <c r="M7" s="122" t="b">
        <f aca="false">IF(IFERROR(INDEX(tsk_Name,GanttView[[#This Row],[_Row]])="",TRUE()),FALSE(),INDEX(tsk_IsSummary,GanttView[[#This Row],[_Row]]))</f>
        <v>0</v>
      </c>
      <c r="N7" s="122" t="b">
        <f aca="false">IF(IFERROR(INDEX(tsk_Name,GanttView[[#This Row],[_Row]])="",TRUE()),FALSE(),AND(INDEX(tsk_IsLeaf,GanttView[[#This Row],[_Row]])=1,N(INDEX(tsk_Duration,GanttView[[#This Row],[_Row]]))=0))</f>
        <v>0</v>
      </c>
      <c r="O7" s="123" t="n">
        <f aca="false">IF(IFERROR(INDEX(tsk_Name,GanttView[[#This Row],[_Row]])="",TRUE()),0,IF(AND(INDEX(tsk_IsLeaf,GanttView[[#This Row],[_Row]])=1,NOT(GanttView[[#This Row],[_IsMilestone]]),N(GanttView[[#This Row],[%]])&gt;0),GanttView[[#This Row],[Forecast Start]],0))</f>
        <v>0</v>
      </c>
      <c r="P7" s="123" t="n">
        <f aca="false">IF(GanttView[[#This Row],[_DoneFrom]]=0,0,IF(GanttView[[#This Row],[%]]&gt;=1,GanttView[[#This Row],[Forecast Finish]],MAX(GanttView[[#This Row],[_DoneFrom]],GanttView[[#This Row],[Forecast Start]]+ROUND((GanttView[[#This Row],[Forecast Finish]]-GanttView[[#This Row],[Forecast Start]]+1)*GanttView[[#This Row],[%]],0)-1)))</f>
        <v>0</v>
      </c>
      <c r="Q7" s="123" t="n">
        <f aca="false">IF(IFERROR(INDEX(tsk_Name,GanttView[[#This Row],[_Row]])="",TRUE()),0,IF(OR(INDEX(tsk_IsLeaf,GanttView[[#This Row],[_Row]])&lt;&gt;1,GanttView[[#This Row],[_IsMilestone]],N(GanttView[[#This Row],[%]])&gt;=1),0,IF(GanttView[[#This Row],[_DoneTo]]&gt;0,GanttView[[#This Row],[_DoneTo]]+1,GanttView[[#This Row],[Forecast Start]])))</f>
        <v>0</v>
      </c>
      <c r="R7" s="123" t="n">
        <f aca="false">IF(GanttView[[#This Row],[_RemFrom]]=0,0,GanttView[[#This Row],[Forecast Finish]])</f>
        <v>0</v>
      </c>
      <c r="S7" s="122" t="b">
        <f aca="false">IF(IFERROR(INDEX(tsk_Name,GanttView[[#This Row],[_Row]])="",TRUE()),FALSE(),N(INDEX(tsk_Variance,GanttView[[#This Row],[_Row]]))&gt;0)</f>
        <v>0</v>
      </c>
      <c r="T7" s="123" t="n">
        <f aca="false">IF(IFERROR(INDEX(tsk_Name,GanttView[[#This Row],[_Row]])="",TRUE()),0,N(INDEX(tsk_Deadline,GanttView[[#This Row],[_Row]])))</f>
        <v>0</v>
      </c>
      <c r="U7" s="122" t="b">
        <f aca="false">IF(IFERROR(INDEX(tsk_Name,GanttView[[#This Row],[_Row]])="",TRUE()),FALSE(),INDEX(tsk_Critical,GanttView[[#This Row],[_Row]])="Yes")</f>
        <v>0</v>
      </c>
    </row>
    <row r="8" customFormat="false" ht="15" hidden="false" customHeight="false" outlineLevel="0" collapsed="false">
      <c r="A8" s="117" t="str">
        <f aca="false">IF(IFERROR(INDEX(tsk_Name,GanttView[[#This Row],[_Row]])="",TRUE()),"",INDEX(tsk_ID,GanttView[[#This Row],[_Row]]))</f>
        <v/>
      </c>
      <c r="B8" s="117" t="str">
        <f aca="false">IF(IFERROR(INDEX(tsk_Name,GanttView[[#This Row],[_Row]])="",TRUE()),"",INDEX(tsk_WBS,GanttView[[#This Row],[_Row]]))</f>
        <v/>
      </c>
      <c r="C8" s="118" t="str">
        <f aca="false">IF(IFERROR(INDEX(tsk_Name,GanttView[[#This Row],[_Row]])="",TRUE()),"",REPT("    ",INDEX(tsk_Level,GanttView[[#This Row],[_Row]])-1)&amp;INDEX(tsk_Name,GanttView[[#This Row],[_Row]]))</f>
        <v/>
      </c>
      <c r="D8" s="117" t="str">
        <f aca="false">IF(IFERROR(INDEX(tsk_Name,GanttView[[#This Row],[_Row]])="",TRUE()),"",IF(INDEX(tsk_IsSummary,GanttView[[#This Row],[_Row]]),NETWORKDAYS.INTL(INDEX(tsk_FcStart,GanttView[[#This Row],[_Row]]),INDEX(tsk_FcFinish,GanttView[[#This Row],[_Row]]),WorkWeek,Holidays),N(INDEX(tsk_Duration,GanttView[[#This Row],[_Row]]))))</f>
        <v/>
      </c>
      <c r="E8" s="119" t="str">
        <f aca="false">IF(IFERROR(INDEX(tsk_Name,GanttView[[#This Row],[_Row]])="",TRUE()),"",INDEX(tsk_PlanStart,GanttView[[#This Row],[_Row]]))</f>
        <v/>
      </c>
      <c r="F8" s="119" t="str">
        <f aca="false">IF(IFERROR(INDEX(tsk_Name,GanttView[[#This Row],[_Row]])="",TRUE()),"",INDEX(tsk_PlanFinish,GanttView[[#This Row],[_Row]]))</f>
        <v/>
      </c>
      <c r="G8" s="119" t="str">
        <f aca="false">IF(IFERROR(INDEX(tsk_Name,GanttView[[#This Row],[_Row]])="",TRUE()),"",INDEX(tsk_FcStart,GanttView[[#This Row],[_Row]]))</f>
        <v/>
      </c>
      <c r="H8" s="119" t="str">
        <f aca="false">IF(IFERROR(INDEX(tsk_Name,GanttView[[#This Row],[_Row]])="",TRUE()),"",INDEX(tsk_FcFinish,GanttView[[#This Row],[_Row]]))</f>
        <v/>
      </c>
      <c r="I8" s="120" t="str">
        <f aca="false">IF(IFERROR(INDEX(tsk_Name,GanttView[[#This Row],[_Row]])="",TRUE()),"",INDEX(tsk_Progress,GanttView[[#This Row],[_Row]]))</f>
        <v/>
      </c>
      <c r="J8" s="118" t="str">
        <f aca="false">IF(IFERROR(INDEX(tsk_Name,GanttView[[#This Row],[_Row]])="",TRUE()),"",INDEX(tsk_ResourceNames,GanttView[[#This Row],[_Row]])&amp;"")</f>
        <v/>
      </c>
      <c r="K8" s="117" t="str">
        <f aca="false">IF(IFERROR(INDEX(tsk_Name,GanttView[[#This Row],[_Row]])="",TRUE()),"",INDEX(tsk_Status,GanttView[[#This Row],[_Row]]))</f>
        <v/>
      </c>
      <c r="L8" s="121" t="n">
        <f aca="false">ROW()-ROW(GanttView[[#Headers],[ID]])</f>
        <v>3</v>
      </c>
      <c r="M8" s="122" t="b">
        <f aca="false">IF(IFERROR(INDEX(tsk_Name,GanttView[[#This Row],[_Row]])="",TRUE()),FALSE(),INDEX(tsk_IsSummary,GanttView[[#This Row],[_Row]]))</f>
        <v>0</v>
      </c>
      <c r="N8" s="122" t="b">
        <f aca="false">IF(IFERROR(INDEX(tsk_Name,GanttView[[#This Row],[_Row]])="",TRUE()),FALSE(),AND(INDEX(tsk_IsLeaf,GanttView[[#This Row],[_Row]])=1,N(INDEX(tsk_Duration,GanttView[[#This Row],[_Row]]))=0))</f>
        <v>0</v>
      </c>
      <c r="O8" s="123" t="n">
        <f aca="false">IF(IFERROR(INDEX(tsk_Name,GanttView[[#This Row],[_Row]])="",TRUE()),0,IF(AND(INDEX(tsk_IsLeaf,GanttView[[#This Row],[_Row]])=1,NOT(GanttView[[#This Row],[_IsMilestone]]),N(GanttView[[#This Row],[%]])&gt;0),GanttView[[#This Row],[Forecast Start]],0))</f>
        <v>0</v>
      </c>
      <c r="P8" s="123" t="n">
        <f aca="false">IF(GanttView[[#This Row],[_DoneFrom]]=0,0,IF(GanttView[[#This Row],[%]]&gt;=1,GanttView[[#This Row],[Forecast Finish]],MAX(GanttView[[#This Row],[_DoneFrom]],GanttView[[#This Row],[Forecast Start]]+ROUND((GanttView[[#This Row],[Forecast Finish]]-GanttView[[#This Row],[Forecast Start]]+1)*GanttView[[#This Row],[%]],0)-1)))</f>
        <v>0</v>
      </c>
      <c r="Q8" s="123" t="n">
        <f aca="false">IF(IFERROR(INDEX(tsk_Name,GanttView[[#This Row],[_Row]])="",TRUE()),0,IF(OR(INDEX(tsk_IsLeaf,GanttView[[#This Row],[_Row]])&lt;&gt;1,GanttView[[#This Row],[_IsMilestone]],N(GanttView[[#This Row],[%]])&gt;=1),0,IF(GanttView[[#This Row],[_DoneTo]]&gt;0,GanttView[[#This Row],[_DoneTo]]+1,GanttView[[#This Row],[Forecast Start]])))</f>
        <v>0</v>
      </c>
      <c r="R8" s="123" t="n">
        <f aca="false">IF(GanttView[[#This Row],[_RemFrom]]=0,0,GanttView[[#This Row],[Forecast Finish]])</f>
        <v>0</v>
      </c>
      <c r="S8" s="122" t="b">
        <f aca="false">IF(IFERROR(INDEX(tsk_Name,GanttView[[#This Row],[_Row]])="",TRUE()),FALSE(),N(INDEX(tsk_Variance,GanttView[[#This Row],[_Row]]))&gt;0)</f>
        <v>0</v>
      </c>
      <c r="T8" s="123" t="n">
        <f aca="false">IF(IFERROR(INDEX(tsk_Name,GanttView[[#This Row],[_Row]])="",TRUE()),0,N(INDEX(tsk_Deadline,GanttView[[#This Row],[_Row]])))</f>
        <v>0</v>
      </c>
      <c r="U8" s="122" t="b">
        <f aca="false">IF(IFERROR(INDEX(tsk_Name,GanttView[[#This Row],[_Row]])="",TRUE()),FALSE(),INDEX(tsk_Critical,GanttView[[#This Row],[_Row]])="Yes")</f>
        <v>0</v>
      </c>
    </row>
    <row r="9" customFormat="false" ht="15" hidden="false" customHeight="false" outlineLevel="0" collapsed="false">
      <c r="A9" s="117" t="str">
        <f aca="false">IF(IFERROR(INDEX(tsk_Name,GanttView[[#This Row],[_Row]])="",TRUE()),"",INDEX(tsk_ID,GanttView[[#This Row],[_Row]]))</f>
        <v/>
      </c>
      <c r="B9" s="117" t="str">
        <f aca="false">IF(IFERROR(INDEX(tsk_Name,GanttView[[#This Row],[_Row]])="",TRUE()),"",INDEX(tsk_WBS,GanttView[[#This Row],[_Row]]))</f>
        <v/>
      </c>
      <c r="C9" s="118" t="str">
        <f aca="false">IF(IFERROR(INDEX(tsk_Name,GanttView[[#This Row],[_Row]])="",TRUE()),"",REPT("    ",INDEX(tsk_Level,GanttView[[#This Row],[_Row]])-1)&amp;INDEX(tsk_Name,GanttView[[#This Row],[_Row]]))</f>
        <v/>
      </c>
      <c r="D9" s="117" t="str">
        <f aca="false">IF(IFERROR(INDEX(tsk_Name,GanttView[[#This Row],[_Row]])="",TRUE()),"",IF(INDEX(tsk_IsSummary,GanttView[[#This Row],[_Row]]),NETWORKDAYS.INTL(INDEX(tsk_FcStart,GanttView[[#This Row],[_Row]]),INDEX(tsk_FcFinish,GanttView[[#This Row],[_Row]]),WorkWeek,Holidays),N(INDEX(tsk_Duration,GanttView[[#This Row],[_Row]]))))</f>
        <v/>
      </c>
      <c r="E9" s="119" t="str">
        <f aca="false">IF(IFERROR(INDEX(tsk_Name,GanttView[[#This Row],[_Row]])="",TRUE()),"",INDEX(tsk_PlanStart,GanttView[[#This Row],[_Row]]))</f>
        <v/>
      </c>
      <c r="F9" s="119" t="str">
        <f aca="false">IF(IFERROR(INDEX(tsk_Name,GanttView[[#This Row],[_Row]])="",TRUE()),"",INDEX(tsk_PlanFinish,GanttView[[#This Row],[_Row]]))</f>
        <v/>
      </c>
      <c r="G9" s="119" t="str">
        <f aca="false">IF(IFERROR(INDEX(tsk_Name,GanttView[[#This Row],[_Row]])="",TRUE()),"",INDEX(tsk_FcStart,GanttView[[#This Row],[_Row]]))</f>
        <v/>
      </c>
      <c r="H9" s="119" t="str">
        <f aca="false">IF(IFERROR(INDEX(tsk_Name,GanttView[[#This Row],[_Row]])="",TRUE()),"",INDEX(tsk_FcFinish,GanttView[[#This Row],[_Row]]))</f>
        <v/>
      </c>
      <c r="I9" s="120" t="str">
        <f aca="false">IF(IFERROR(INDEX(tsk_Name,GanttView[[#This Row],[_Row]])="",TRUE()),"",INDEX(tsk_Progress,GanttView[[#This Row],[_Row]]))</f>
        <v/>
      </c>
      <c r="J9" s="118" t="str">
        <f aca="false">IF(IFERROR(INDEX(tsk_Name,GanttView[[#This Row],[_Row]])="",TRUE()),"",INDEX(tsk_ResourceNames,GanttView[[#This Row],[_Row]])&amp;"")</f>
        <v/>
      </c>
      <c r="K9" s="117" t="str">
        <f aca="false">IF(IFERROR(INDEX(tsk_Name,GanttView[[#This Row],[_Row]])="",TRUE()),"",INDEX(tsk_Status,GanttView[[#This Row],[_Row]]))</f>
        <v/>
      </c>
      <c r="L9" s="121" t="n">
        <f aca="false">ROW()-ROW(GanttView[[#Headers],[ID]])</f>
        <v>4</v>
      </c>
      <c r="M9" s="122" t="b">
        <f aca="false">IF(IFERROR(INDEX(tsk_Name,GanttView[[#This Row],[_Row]])="",TRUE()),FALSE(),INDEX(tsk_IsSummary,GanttView[[#This Row],[_Row]]))</f>
        <v>0</v>
      </c>
      <c r="N9" s="122" t="b">
        <f aca="false">IF(IFERROR(INDEX(tsk_Name,GanttView[[#This Row],[_Row]])="",TRUE()),FALSE(),AND(INDEX(tsk_IsLeaf,GanttView[[#This Row],[_Row]])=1,N(INDEX(tsk_Duration,GanttView[[#This Row],[_Row]]))=0))</f>
        <v>0</v>
      </c>
      <c r="O9" s="123" t="n">
        <f aca="false">IF(IFERROR(INDEX(tsk_Name,GanttView[[#This Row],[_Row]])="",TRUE()),0,IF(AND(INDEX(tsk_IsLeaf,GanttView[[#This Row],[_Row]])=1,NOT(GanttView[[#This Row],[_IsMilestone]]),N(GanttView[[#This Row],[%]])&gt;0),GanttView[[#This Row],[Forecast Start]],0))</f>
        <v>0</v>
      </c>
      <c r="P9" s="123" t="n">
        <f aca="false">IF(GanttView[[#This Row],[_DoneFrom]]=0,0,IF(GanttView[[#This Row],[%]]&gt;=1,GanttView[[#This Row],[Forecast Finish]],MAX(GanttView[[#This Row],[_DoneFrom]],GanttView[[#This Row],[Forecast Start]]+ROUND((GanttView[[#This Row],[Forecast Finish]]-GanttView[[#This Row],[Forecast Start]]+1)*GanttView[[#This Row],[%]],0)-1)))</f>
        <v>0</v>
      </c>
      <c r="Q9" s="123" t="n">
        <f aca="false">IF(IFERROR(INDEX(tsk_Name,GanttView[[#This Row],[_Row]])="",TRUE()),0,IF(OR(INDEX(tsk_IsLeaf,GanttView[[#This Row],[_Row]])&lt;&gt;1,GanttView[[#This Row],[_IsMilestone]],N(GanttView[[#This Row],[%]])&gt;=1),0,IF(GanttView[[#This Row],[_DoneTo]]&gt;0,GanttView[[#This Row],[_DoneTo]]+1,GanttView[[#This Row],[Forecast Start]])))</f>
        <v>0</v>
      </c>
      <c r="R9" s="123" t="n">
        <f aca="false">IF(GanttView[[#This Row],[_RemFrom]]=0,0,GanttView[[#This Row],[Forecast Finish]])</f>
        <v>0</v>
      </c>
      <c r="S9" s="122" t="b">
        <f aca="false">IF(IFERROR(INDEX(tsk_Name,GanttView[[#This Row],[_Row]])="",TRUE()),FALSE(),N(INDEX(tsk_Variance,GanttView[[#This Row],[_Row]]))&gt;0)</f>
        <v>0</v>
      </c>
      <c r="T9" s="123" t="n">
        <f aca="false">IF(IFERROR(INDEX(tsk_Name,GanttView[[#This Row],[_Row]])="",TRUE()),0,N(INDEX(tsk_Deadline,GanttView[[#This Row],[_Row]])))</f>
        <v>0</v>
      </c>
      <c r="U9" s="122" t="b">
        <f aca="false">IF(IFERROR(INDEX(tsk_Name,GanttView[[#This Row],[_Row]])="",TRUE()),FALSE(),INDEX(tsk_Critical,GanttView[[#This Row],[_Row]])="Yes")</f>
        <v>0</v>
      </c>
    </row>
    <row r="10" customFormat="false" ht="15" hidden="false" customHeight="false" outlineLevel="0" collapsed="false">
      <c r="A10" s="117" t="str">
        <f aca="false">IF(IFERROR(INDEX(tsk_Name,GanttView[[#This Row],[_Row]])="",TRUE()),"",INDEX(tsk_ID,GanttView[[#This Row],[_Row]]))</f>
        <v/>
      </c>
      <c r="B10" s="117" t="str">
        <f aca="false">IF(IFERROR(INDEX(tsk_Name,GanttView[[#This Row],[_Row]])="",TRUE()),"",INDEX(tsk_WBS,GanttView[[#This Row],[_Row]]))</f>
        <v/>
      </c>
      <c r="C10" s="118" t="str">
        <f aca="false">IF(IFERROR(INDEX(tsk_Name,GanttView[[#This Row],[_Row]])="",TRUE()),"",REPT("    ",INDEX(tsk_Level,GanttView[[#This Row],[_Row]])-1)&amp;INDEX(tsk_Name,GanttView[[#This Row],[_Row]]))</f>
        <v/>
      </c>
      <c r="D10" s="117" t="str">
        <f aca="false">IF(IFERROR(INDEX(tsk_Name,GanttView[[#This Row],[_Row]])="",TRUE()),"",IF(INDEX(tsk_IsSummary,GanttView[[#This Row],[_Row]]),NETWORKDAYS.INTL(INDEX(tsk_FcStart,GanttView[[#This Row],[_Row]]),INDEX(tsk_FcFinish,GanttView[[#This Row],[_Row]]),WorkWeek,Holidays),N(INDEX(tsk_Duration,GanttView[[#This Row],[_Row]]))))</f>
        <v/>
      </c>
      <c r="E10" s="119" t="str">
        <f aca="false">IF(IFERROR(INDEX(tsk_Name,GanttView[[#This Row],[_Row]])="",TRUE()),"",INDEX(tsk_PlanStart,GanttView[[#This Row],[_Row]]))</f>
        <v/>
      </c>
      <c r="F10" s="119" t="str">
        <f aca="false">IF(IFERROR(INDEX(tsk_Name,GanttView[[#This Row],[_Row]])="",TRUE()),"",INDEX(tsk_PlanFinish,GanttView[[#This Row],[_Row]]))</f>
        <v/>
      </c>
      <c r="G10" s="119" t="str">
        <f aca="false">IF(IFERROR(INDEX(tsk_Name,GanttView[[#This Row],[_Row]])="",TRUE()),"",INDEX(tsk_FcStart,GanttView[[#This Row],[_Row]]))</f>
        <v/>
      </c>
      <c r="H10" s="119" t="str">
        <f aca="false">IF(IFERROR(INDEX(tsk_Name,GanttView[[#This Row],[_Row]])="",TRUE()),"",INDEX(tsk_FcFinish,GanttView[[#This Row],[_Row]]))</f>
        <v/>
      </c>
      <c r="I10" s="120" t="str">
        <f aca="false">IF(IFERROR(INDEX(tsk_Name,GanttView[[#This Row],[_Row]])="",TRUE()),"",INDEX(tsk_Progress,GanttView[[#This Row],[_Row]]))</f>
        <v/>
      </c>
      <c r="J10" s="118" t="str">
        <f aca="false">IF(IFERROR(INDEX(tsk_Name,GanttView[[#This Row],[_Row]])="",TRUE()),"",INDEX(tsk_ResourceNames,GanttView[[#This Row],[_Row]])&amp;"")</f>
        <v/>
      </c>
      <c r="K10" s="117" t="str">
        <f aca="false">IF(IFERROR(INDEX(tsk_Name,GanttView[[#This Row],[_Row]])="",TRUE()),"",INDEX(tsk_Status,GanttView[[#This Row],[_Row]]))</f>
        <v/>
      </c>
      <c r="L10" s="121" t="n">
        <f aca="false">ROW()-ROW(GanttView[[#Headers],[ID]])</f>
        <v>5</v>
      </c>
      <c r="M10" s="122" t="b">
        <f aca="false">IF(IFERROR(INDEX(tsk_Name,GanttView[[#This Row],[_Row]])="",TRUE()),FALSE(),INDEX(tsk_IsSummary,GanttView[[#This Row],[_Row]]))</f>
        <v>0</v>
      </c>
      <c r="N10" s="122" t="b">
        <f aca="false">IF(IFERROR(INDEX(tsk_Name,GanttView[[#This Row],[_Row]])="",TRUE()),FALSE(),AND(INDEX(tsk_IsLeaf,GanttView[[#This Row],[_Row]])=1,N(INDEX(tsk_Duration,GanttView[[#This Row],[_Row]]))=0))</f>
        <v>0</v>
      </c>
      <c r="O10" s="123" t="n">
        <f aca="false">IF(IFERROR(INDEX(tsk_Name,GanttView[[#This Row],[_Row]])="",TRUE()),0,IF(AND(INDEX(tsk_IsLeaf,GanttView[[#This Row],[_Row]])=1,NOT(GanttView[[#This Row],[_IsMilestone]]),N(GanttView[[#This Row],[%]])&gt;0),GanttView[[#This Row],[Forecast Start]],0))</f>
        <v>0</v>
      </c>
      <c r="P10" s="123" t="n">
        <f aca="false">IF(GanttView[[#This Row],[_DoneFrom]]=0,0,IF(GanttView[[#This Row],[%]]&gt;=1,GanttView[[#This Row],[Forecast Finish]],MAX(GanttView[[#This Row],[_DoneFrom]],GanttView[[#This Row],[Forecast Start]]+ROUND((GanttView[[#This Row],[Forecast Finish]]-GanttView[[#This Row],[Forecast Start]]+1)*GanttView[[#This Row],[%]],0)-1)))</f>
        <v>0</v>
      </c>
      <c r="Q10" s="123" t="n">
        <f aca="false">IF(IFERROR(INDEX(tsk_Name,GanttView[[#This Row],[_Row]])="",TRUE()),0,IF(OR(INDEX(tsk_IsLeaf,GanttView[[#This Row],[_Row]])&lt;&gt;1,GanttView[[#This Row],[_IsMilestone]],N(GanttView[[#This Row],[%]])&gt;=1),0,IF(GanttView[[#This Row],[_DoneTo]]&gt;0,GanttView[[#This Row],[_DoneTo]]+1,GanttView[[#This Row],[Forecast Start]])))</f>
        <v>0</v>
      </c>
      <c r="R10" s="123" t="n">
        <f aca="false">IF(GanttView[[#This Row],[_RemFrom]]=0,0,GanttView[[#This Row],[Forecast Finish]])</f>
        <v>0</v>
      </c>
      <c r="S10" s="122" t="b">
        <f aca="false">IF(IFERROR(INDEX(tsk_Name,GanttView[[#This Row],[_Row]])="",TRUE()),FALSE(),N(INDEX(tsk_Variance,GanttView[[#This Row],[_Row]]))&gt;0)</f>
        <v>0</v>
      </c>
      <c r="T10" s="123" t="n">
        <f aca="false">IF(IFERROR(INDEX(tsk_Name,GanttView[[#This Row],[_Row]])="",TRUE()),0,N(INDEX(tsk_Deadline,GanttView[[#This Row],[_Row]])))</f>
        <v>0</v>
      </c>
      <c r="U10" s="122" t="b">
        <f aca="false">IF(IFERROR(INDEX(tsk_Name,GanttView[[#This Row],[_Row]])="",TRUE()),FALSE(),INDEX(tsk_Critical,GanttView[[#This Row],[_Row]])="Yes")</f>
        <v>0</v>
      </c>
    </row>
    <row r="11" customFormat="false" ht="15" hidden="false" customHeight="false" outlineLevel="0" collapsed="false">
      <c r="A11" s="117" t="str">
        <f aca="false">IF(IFERROR(INDEX(tsk_Name,GanttView[[#This Row],[_Row]])="",TRUE()),"",INDEX(tsk_ID,GanttView[[#This Row],[_Row]]))</f>
        <v/>
      </c>
      <c r="B11" s="117" t="str">
        <f aca="false">IF(IFERROR(INDEX(tsk_Name,GanttView[[#This Row],[_Row]])="",TRUE()),"",INDEX(tsk_WBS,GanttView[[#This Row],[_Row]]))</f>
        <v/>
      </c>
      <c r="C11" s="118" t="str">
        <f aca="false">IF(IFERROR(INDEX(tsk_Name,GanttView[[#This Row],[_Row]])="",TRUE()),"",REPT("    ",INDEX(tsk_Level,GanttView[[#This Row],[_Row]])-1)&amp;INDEX(tsk_Name,GanttView[[#This Row],[_Row]]))</f>
        <v/>
      </c>
      <c r="D11" s="117" t="str">
        <f aca="false">IF(IFERROR(INDEX(tsk_Name,GanttView[[#This Row],[_Row]])="",TRUE()),"",IF(INDEX(tsk_IsSummary,GanttView[[#This Row],[_Row]]),NETWORKDAYS.INTL(INDEX(tsk_FcStart,GanttView[[#This Row],[_Row]]),INDEX(tsk_FcFinish,GanttView[[#This Row],[_Row]]),WorkWeek,Holidays),N(INDEX(tsk_Duration,GanttView[[#This Row],[_Row]]))))</f>
        <v/>
      </c>
      <c r="E11" s="119" t="str">
        <f aca="false">IF(IFERROR(INDEX(tsk_Name,GanttView[[#This Row],[_Row]])="",TRUE()),"",INDEX(tsk_PlanStart,GanttView[[#This Row],[_Row]]))</f>
        <v/>
      </c>
      <c r="F11" s="119" t="str">
        <f aca="false">IF(IFERROR(INDEX(tsk_Name,GanttView[[#This Row],[_Row]])="",TRUE()),"",INDEX(tsk_PlanFinish,GanttView[[#This Row],[_Row]]))</f>
        <v/>
      </c>
      <c r="G11" s="119" t="str">
        <f aca="false">IF(IFERROR(INDEX(tsk_Name,GanttView[[#This Row],[_Row]])="",TRUE()),"",INDEX(tsk_FcStart,GanttView[[#This Row],[_Row]]))</f>
        <v/>
      </c>
      <c r="H11" s="119" t="str">
        <f aca="false">IF(IFERROR(INDEX(tsk_Name,GanttView[[#This Row],[_Row]])="",TRUE()),"",INDEX(tsk_FcFinish,GanttView[[#This Row],[_Row]]))</f>
        <v/>
      </c>
      <c r="I11" s="120" t="str">
        <f aca="false">IF(IFERROR(INDEX(tsk_Name,GanttView[[#This Row],[_Row]])="",TRUE()),"",INDEX(tsk_Progress,GanttView[[#This Row],[_Row]]))</f>
        <v/>
      </c>
      <c r="J11" s="118" t="str">
        <f aca="false">IF(IFERROR(INDEX(tsk_Name,GanttView[[#This Row],[_Row]])="",TRUE()),"",INDEX(tsk_ResourceNames,GanttView[[#This Row],[_Row]])&amp;"")</f>
        <v/>
      </c>
      <c r="K11" s="117" t="str">
        <f aca="false">IF(IFERROR(INDEX(tsk_Name,GanttView[[#This Row],[_Row]])="",TRUE()),"",INDEX(tsk_Status,GanttView[[#This Row],[_Row]]))</f>
        <v/>
      </c>
      <c r="L11" s="121" t="n">
        <f aca="false">ROW()-ROW(GanttView[[#Headers],[ID]])</f>
        <v>6</v>
      </c>
      <c r="M11" s="122" t="b">
        <f aca="false">IF(IFERROR(INDEX(tsk_Name,GanttView[[#This Row],[_Row]])="",TRUE()),FALSE(),INDEX(tsk_IsSummary,GanttView[[#This Row],[_Row]]))</f>
        <v>0</v>
      </c>
      <c r="N11" s="122" t="b">
        <f aca="false">IF(IFERROR(INDEX(tsk_Name,GanttView[[#This Row],[_Row]])="",TRUE()),FALSE(),AND(INDEX(tsk_IsLeaf,GanttView[[#This Row],[_Row]])=1,N(INDEX(tsk_Duration,GanttView[[#This Row],[_Row]]))=0))</f>
        <v>0</v>
      </c>
      <c r="O11" s="123" t="n">
        <f aca="false">IF(IFERROR(INDEX(tsk_Name,GanttView[[#This Row],[_Row]])="",TRUE()),0,IF(AND(INDEX(tsk_IsLeaf,GanttView[[#This Row],[_Row]])=1,NOT(GanttView[[#This Row],[_IsMilestone]]),N(GanttView[[#This Row],[%]])&gt;0),GanttView[[#This Row],[Forecast Start]],0))</f>
        <v>0</v>
      </c>
      <c r="P11" s="123" t="n">
        <f aca="false">IF(GanttView[[#This Row],[_DoneFrom]]=0,0,IF(GanttView[[#This Row],[%]]&gt;=1,GanttView[[#This Row],[Forecast Finish]],MAX(GanttView[[#This Row],[_DoneFrom]],GanttView[[#This Row],[Forecast Start]]+ROUND((GanttView[[#This Row],[Forecast Finish]]-GanttView[[#This Row],[Forecast Start]]+1)*GanttView[[#This Row],[%]],0)-1)))</f>
        <v>0</v>
      </c>
      <c r="Q11" s="123" t="n">
        <f aca="false">IF(IFERROR(INDEX(tsk_Name,GanttView[[#This Row],[_Row]])="",TRUE()),0,IF(OR(INDEX(tsk_IsLeaf,GanttView[[#This Row],[_Row]])&lt;&gt;1,GanttView[[#This Row],[_IsMilestone]],N(GanttView[[#This Row],[%]])&gt;=1),0,IF(GanttView[[#This Row],[_DoneTo]]&gt;0,GanttView[[#This Row],[_DoneTo]]+1,GanttView[[#This Row],[Forecast Start]])))</f>
        <v>0</v>
      </c>
      <c r="R11" s="123" t="n">
        <f aca="false">IF(GanttView[[#This Row],[_RemFrom]]=0,0,GanttView[[#This Row],[Forecast Finish]])</f>
        <v>0</v>
      </c>
      <c r="S11" s="122" t="b">
        <f aca="false">IF(IFERROR(INDEX(tsk_Name,GanttView[[#This Row],[_Row]])="",TRUE()),FALSE(),N(INDEX(tsk_Variance,GanttView[[#This Row],[_Row]]))&gt;0)</f>
        <v>0</v>
      </c>
      <c r="T11" s="123" t="n">
        <f aca="false">IF(IFERROR(INDEX(tsk_Name,GanttView[[#This Row],[_Row]])="",TRUE()),0,N(INDEX(tsk_Deadline,GanttView[[#This Row],[_Row]])))</f>
        <v>0</v>
      </c>
      <c r="U11" s="122" t="b">
        <f aca="false">IF(IFERROR(INDEX(tsk_Name,GanttView[[#This Row],[_Row]])="",TRUE()),FALSE(),INDEX(tsk_Critical,GanttView[[#This Row],[_Row]])="Yes")</f>
        <v>0</v>
      </c>
    </row>
    <row r="12" customFormat="false" ht="15" hidden="false" customHeight="false" outlineLevel="0" collapsed="false">
      <c r="A12" s="117" t="str">
        <f aca="false">IF(IFERROR(INDEX(tsk_Name,GanttView[[#This Row],[_Row]])="",TRUE()),"",INDEX(tsk_ID,GanttView[[#This Row],[_Row]]))</f>
        <v/>
      </c>
      <c r="B12" s="117" t="str">
        <f aca="false">IF(IFERROR(INDEX(tsk_Name,GanttView[[#This Row],[_Row]])="",TRUE()),"",INDEX(tsk_WBS,GanttView[[#This Row],[_Row]]))</f>
        <v/>
      </c>
      <c r="C12" s="118" t="str">
        <f aca="false">IF(IFERROR(INDEX(tsk_Name,GanttView[[#This Row],[_Row]])="",TRUE()),"",REPT("    ",INDEX(tsk_Level,GanttView[[#This Row],[_Row]])-1)&amp;INDEX(tsk_Name,GanttView[[#This Row],[_Row]]))</f>
        <v/>
      </c>
      <c r="D12" s="117" t="str">
        <f aca="false">IF(IFERROR(INDEX(tsk_Name,GanttView[[#This Row],[_Row]])="",TRUE()),"",IF(INDEX(tsk_IsSummary,GanttView[[#This Row],[_Row]]),NETWORKDAYS.INTL(INDEX(tsk_FcStart,GanttView[[#This Row],[_Row]]),INDEX(tsk_FcFinish,GanttView[[#This Row],[_Row]]),WorkWeek,Holidays),N(INDEX(tsk_Duration,GanttView[[#This Row],[_Row]]))))</f>
        <v/>
      </c>
      <c r="E12" s="119" t="str">
        <f aca="false">IF(IFERROR(INDEX(tsk_Name,GanttView[[#This Row],[_Row]])="",TRUE()),"",INDEX(tsk_PlanStart,GanttView[[#This Row],[_Row]]))</f>
        <v/>
      </c>
      <c r="F12" s="119" t="str">
        <f aca="false">IF(IFERROR(INDEX(tsk_Name,GanttView[[#This Row],[_Row]])="",TRUE()),"",INDEX(tsk_PlanFinish,GanttView[[#This Row],[_Row]]))</f>
        <v/>
      </c>
      <c r="G12" s="119" t="str">
        <f aca="false">IF(IFERROR(INDEX(tsk_Name,GanttView[[#This Row],[_Row]])="",TRUE()),"",INDEX(tsk_FcStart,GanttView[[#This Row],[_Row]]))</f>
        <v/>
      </c>
      <c r="H12" s="119" t="str">
        <f aca="false">IF(IFERROR(INDEX(tsk_Name,GanttView[[#This Row],[_Row]])="",TRUE()),"",INDEX(tsk_FcFinish,GanttView[[#This Row],[_Row]]))</f>
        <v/>
      </c>
      <c r="I12" s="120" t="str">
        <f aca="false">IF(IFERROR(INDEX(tsk_Name,GanttView[[#This Row],[_Row]])="",TRUE()),"",INDEX(tsk_Progress,GanttView[[#This Row],[_Row]]))</f>
        <v/>
      </c>
      <c r="J12" s="118" t="str">
        <f aca="false">IF(IFERROR(INDEX(tsk_Name,GanttView[[#This Row],[_Row]])="",TRUE()),"",INDEX(tsk_ResourceNames,GanttView[[#This Row],[_Row]])&amp;"")</f>
        <v/>
      </c>
      <c r="K12" s="117" t="str">
        <f aca="false">IF(IFERROR(INDEX(tsk_Name,GanttView[[#This Row],[_Row]])="",TRUE()),"",INDEX(tsk_Status,GanttView[[#This Row],[_Row]]))</f>
        <v/>
      </c>
      <c r="L12" s="121" t="n">
        <f aca="false">ROW()-ROW(GanttView[[#Headers],[ID]])</f>
        <v>7</v>
      </c>
      <c r="M12" s="122" t="b">
        <f aca="false">IF(IFERROR(INDEX(tsk_Name,GanttView[[#This Row],[_Row]])="",TRUE()),FALSE(),INDEX(tsk_IsSummary,GanttView[[#This Row],[_Row]]))</f>
        <v>0</v>
      </c>
      <c r="N12" s="122" t="b">
        <f aca="false">IF(IFERROR(INDEX(tsk_Name,GanttView[[#This Row],[_Row]])="",TRUE()),FALSE(),AND(INDEX(tsk_IsLeaf,GanttView[[#This Row],[_Row]])=1,N(INDEX(tsk_Duration,GanttView[[#This Row],[_Row]]))=0))</f>
        <v>0</v>
      </c>
      <c r="O12" s="123" t="n">
        <f aca="false">IF(IFERROR(INDEX(tsk_Name,GanttView[[#This Row],[_Row]])="",TRUE()),0,IF(AND(INDEX(tsk_IsLeaf,GanttView[[#This Row],[_Row]])=1,NOT(GanttView[[#This Row],[_IsMilestone]]),N(GanttView[[#This Row],[%]])&gt;0),GanttView[[#This Row],[Forecast Start]],0))</f>
        <v>0</v>
      </c>
      <c r="P12" s="123" t="n">
        <f aca="false">IF(GanttView[[#This Row],[_DoneFrom]]=0,0,IF(GanttView[[#This Row],[%]]&gt;=1,GanttView[[#This Row],[Forecast Finish]],MAX(GanttView[[#This Row],[_DoneFrom]],GanttView[[#This Row],[Forecast Start]]+ROUND((GanttView[[#This Row],[Forecast Finish]]-GanttView[[#This Row],[Forecast Start]]+1)*GanttView[[#This Row],[%]],0)-1)))</f>
        <v>0</v>
      </c>
      <c r="Q12" s="123" t="n">
        <f aca="false">IF(IFERROR(INDEX(tsk_Name,GanttView[[#This Row],[_Row]])="",TRUE()),0,IF(OR(INDEX(tsk_IsLeaf,GanttView[[#This Row],[_Row]])&lt;&gt;1,GanttView[[#This Row],[_IsMilestone]],N(GanttView[[#This Row],[%]])&gt;=1),0,IF(GanttView[[#This Row],[_DoneTo]]&gt;0,GanttView[[#This Row],[_DoneTo]]+1,GanttView[[#This Row],[Forecast Start]])))</f>
        <v>0</v>
      </c>
      <c r="R12" s="123" t="n">
        <f aca="false">IF(GanttView[[#This Row],[_RemFrom]]=0,0,GanttView[[#This Row],[Forecast Finish]])</f>
        <v>0</v>
      </c>
      <c r="S12" s="122" t="b">
        <f aca="false">IF(IFERROR(INDEX(tsk_Name,GanttView[[#This Row],[_Row]])="",TRUE()),FALSE(),N(INDEX(tsk_Variance,GanttView[[#This Row],[_Row]]))&gt;0)</f>
        <v>0</v>
      </c>
      <c r="T12" s="123" t="n">
        <f aca="false">IF(IFERROR(INDEX(tsk_Name,GanttView[[#This Row],[_Row]])="",TRUE()),0,N(INDEX(tsk_Deadline,GanttView[[#This Row],[_Row]])))</f>
        <v>0</v>
      </c>
      <c r="U12" s="122" t="b">
        <f aca="false">IF(IFERROR(INDEX(tsk_Name,GanttView[[#This Row],[_Row]])="",TRUE()),FALSE(),INDEX(tsk_Critical,GanttView[[#This Row],[_Row]])="Yes")</f>
        <v>0</v>
      </c>
    </row>
    <row r="13" customFormat="false" ht="15" hidden="false" customHeight="false" outlineLevel="0" collapsed="false">
      <c r="A13" s="117" t="str">
        <f aca="false">IF(IFERROR(INDEX(tsk_Name,GanttView[[#This Row],[_Row]])="",TRUE()),"",INDEX(tsk_ID,GanttView[[#This Row],[_Row]]))</f>
        <v/>
      </c>
      <c r="B13" s="117" t="str">
        <f aca="false">IF(IFERROR(INDEX(tsk_Name,GanttView[[#This Row],[_Row]])="",TRUE()),"",INDEX(tsk_WBS,GanttView[[#This Row],[_Row]]))</f>
        <v/>
      </c>
      <c r="C13" s="118" t="str">
        <f aca="false">IF(IFERROR(INDEX(tsk_Name,GanttView[[#This Row],[_Row]])="",TRUE()),"",REPT("    ",INDEX(tsk_Level,GanttView[[#This Row],[_Row]])-1)&amp;INDEX(tsk_Name,GanttView[[#This Row],[_Row]]))</f>
        <v/>
      </c>
      <c r="D13" s="117" t="str">
        <f aca="false">IF(IFERROR(INDEX(tsk_Name,GanttView[[#This Row],[_Row]])="",TRUE()),"",IF(INDEX(tsk_IsSummary,GanttView[[#This Row],[_Row]]),NETWORKDAYS.INTL(INDEX(tsk_FcStart,GanttView[[#This Row],[_Row]]),INDEX(tsk_FcFinish,GanttView[[#This Row],[_Row]]),WorkWeek,Holidays),N(INDEX(tsk_Duration,GanttView[[#This Row],[_Row]]))))</f>
        <v/>
      </c>
      <c r="E13" s="119" t="str">
        <f aca="false">IF(IFERROR(INDEX(tsk_Name,GanttView[[#This Row],[_Row]])="",TRUE()),"",INDEX(tsk_PlanStart,GanttView[[#This Row],[_Row]]))</f>
        <v/>
      </c>
      <c r="F13" s="119" t="str">
        <f aca="false">IF(IFERROR(INDEX(tsk_Name,GanttView[[#This Row],[_Row]])="",TRUE()),"",INDEX(tsk_PlanFinish,GanttView[[#This Row],[_Row]]))</f>
        <v/>
      </c>
      <c r="G13" s="119" t="str">
        <f aca="false">IF(IFERROR(INDEX(tsk_Name,GanttView[[#This Row],[_Row]])="",TRUE()),"",INDEX(tsk_FcStart,GanttView[[#This Row],[_Row]]))</f>
        <v/>
      </c>
      <c r="H13" s="119" t="str">
        <f aca="false">IF(IFERROR(INDEX(tsk_Name,GanttView[[#This Row],[_Row]])="",TRUE()),"",INDEX(tsk_FcFinish,GanttView[[#This Row],[_Row]]))</f>
        <v/>
      </c>
      <c r="I13" s="120" t="str">
        <f aca="false">IF(IFERROR(INDEX(tsk_Name,GanttView[[#This Row],[_Row]])="",TRUE()),"",INDEX(tsk_Progress,GanttView[[#This Row],[_Row]]))</f>
        <v/>
      </c>
      <c r="J13" s="118" t="str">
        <f aca="false">IF(IFERROR(INDEX(tsk_Name,GanttView[[#This Row],[_Row]])="",TRUE()),"",INDEX(tsk_ResourceNames,GanttView[[#This Row],[_Row]])&amp;"")</f>
        <v/>
      </c>
      <c r="K13" s="117" t="str">
        <f aca="false">IF(IFERROR(INDEX(tsk_Name,GanttView[[#This Row],[_Row]])="",TRUE()),"",INDEX(tsk_Status,GanttView[[#This Row],[_Row]]))</f>
        <v/>
      </c>
      <c r="L13" s="121" t="n">
        <f aca="false">ROW()-ROW(GanttView[[#Headers],[ID]])</f>
        <v>8</v>
      </c>
      <c r="M13" s="122" t="b">
        <f aca="false">IF(IFERROR(INDEX(tsk_Name,GanttView[[#This Row],[_Row]])="",TRUE()),FALSE(),INDEX(tsk_IsSummary,GanttView[[#This Row],[_Row]]))</f>
        <v>0</v>
      </c>
      <c r="N13" s="122" t="b">
        <f aca="false">IF(IFERROR(INDEX(tsk_Name,GanttView[[#This Row],[_Row]])="",TRUE()),FALSE(),AND(INDEX(tsk_IsLeaf,GanttView[[#This Row],[_Row]])=1,N(INDEX(tsk_Duration,GanttView[[#This Row],[_Row]]))=0))</f>
        <v>0</v>
      </c>
      <c r="O13" s="123" t="n">
        <f aca="false">IF(IFERROR(INDEX(tsk_Name,GanttView[[#This Row],[_Row]])="",TRUE()),0,IF(AND(INDEX(tsk_IsLeaf,GanttView[[#This Row],[_Row]])=1,NOT(GanttView[[#This Row],[_IsMilestone]]),N(GanttView[[#This Row],[%]])&gt;0),GanttView[[#This Row],[Forecast Start]],0))</f>
        <v>0</v>
      </c>
      <c r="P13" s="123" t="n">
        <f aca="false">IF(GanttView[[#This Row],[_DoneFrom]]=0,0,IF(GanttView[[#This Row],[%]]&gt;=1,GanttView[[#This Row],[Forecast Finish]],MAX(GanttView[[#This Row],[_DoneFrom]],GanttView[[#This Row],[Forecast Start]]+ROUND((GanttView[[#This Row],[Forecast Finish]]-GanttView[[#This Row],[Forecast Start]]+1)*GanttView[[#This Row],[%]],0)-1)))</f>
        <v>0</v>
      </c>
      <c r="Q13" s="123" t="n">
        <f aca="false">IF(IFERROR(INDEX(tsk_Name,GanttView[[#This Row],[_Row]])="",TRUE()),0,IF(OR(INDEX(tsk_IsLeaf,GanttView[[#This Row],[_Row]])&lt;&gt;1,GanttView[[#This Row],[_IsMilestone]],N(GanttView[[#This Row],[%]])&gt;=1),0,IF(GanttView[[#This Row],[_DoneTo]]&gt;0,GanttView[[#This Row],[_DoneTo]]+1,GanttView[[#This Row],[Forecast Start]])))</f>
        <v>0</v>
      </c>
      <c r="R13" s="123" t="n">
        <f aca="false">IF(GanttView[[#This Row],[_RemFrom]]=0,0,GanttView[[#This Row],[Forecast Finish]])</f>
        <v>0</v>
      </c>
      <c r="S13" s="122" t="b">
        <f aca="false">IF(IFERROR(INDEX(tsk_Name,GanttView[[#This Row],[_Row]])="",TRUE()),FALSE(),N(INDEX(tsk_Variance,GanttView[[#This Row],[_Row]]))&gt;0)</f>
        <v>0</v>
      </c>
      <c r="T13" s="123" t="n">
        <f aca="false">IF(IFERROR(INDEX(tsk_Name,GanttView[[#This Row],[_Row]])="",TRUE()),0,N(INDEX(tsk_Deadline,GanttView[[#This Row],[_Row]])))</f>
        <v>0</v>
      </c>
      <c r="U13" s="122" t="b">
        <f aca="false">IF(IFERROR(INDEX(tsk_Name,GanttView[[#This Row],[_Row]])="",TRUE()),FALSE(),INDEX(tsk_Critical,GanttView[[#This Row],[_Row]])="Yes")</f>
        <v>0</v>
      </c>
    </row>
    <row r="14" customFormat="false" ht="15" hidden="false" customHeight="false" outlineLevel="0" collapsed="false">
      <c r="A14" s="117" t="str">
        <f aca="false">IF(IFERROR(INDEX(tsk_Name,GanttView[[#This Row],[_Row]])="",TRUE()),"",INDEX(tsk_ID,GanttView[[#This Row],[_Row]]))</f>
        <v/>
      </c>
      <c r="B14" s="117" t="str">
        <f aca="false">IF(IFERROR(INDEX(tsk_Name,GanttView[[#This Row],[_Row]])="",TRUE()),"",INDEX(tsk_WBS,GanttView[[#This Row],[_Row]]))</f>
        <v/>
      </c>
      <c r="C14" s="118" t="str">
        <f aca="false">IF(IFERROR(INDEX(tsk_Name,GanttView[[#This Row],[_Row]])="",TRUE()),"",REPT("    ",INDEX(tsk_Level,GanttView[[#This Row],[_Row]])-1)&amp;INDEX(tsk_Name,GanttView[[#This Row],[_Row]]))</f>
        <v/>
      </c>
      <c r="D14" s="117" t="str">
        <f aca="false">IF(IFERROR(INDEX(tsk_Name,GanttView[[#This Row],[_Row]])="",TRUE()),"",IF(INDEX(tsk_IsSummary,GanttView[[#This Row],[_Row]]),NETWORKDAYS.INTL(INDEX(tsk_FcStart,GanttView[[#This Row],[_Row]]),INDEX(tsk_FcFinish,GanttView[[#This Row],[_Row]]),WorkWeek,Holidays),N(INDEX(tsk_Duration,GanttView[[#This Row],[_Row]]))))</f>
        <v/>
      </c>
      <c r="E14" s="119" t="str">
        <f aca="false">IF(IFERROR(INDEX(tsk_Name,GanttView[[#This Row],[_Row]])="",TRUE()),"",INDEX(tsk_PlanStart,GanttView[[#This Row],[_Row]]))</f>
        <v/>
      </c>
      <c r="F14" s="119" t="str">
        <f aca="false">IF(IFERROR(INDEX(tsk_Name,GanttView[[#This Row],[_Row]])="",TRUE()),"",INDEX(tsk_PlanFinish,GanttView[[#This Row],[_Row]]))</f>
        <v/>
      </c>
      <c r="G14" s="119" t="str">
        <f aca="false">IF(IFERROR(INDEX(tsk_Name,GanttView[[#This Row],[_Row]])="",TRUE()),"",INDEX(tsk_FcStart,GanttView[[#This Row],[_Row]]))</f>
        <v/>
      </c>
      <c r="H14" s="119" t="str">
        <f aca="false">IF(IFERROR(INDEX(tsk_Name,GanttView[[#This Row],[_Row]])="",TRUE()),"",INDEX(tsk_FcFinish,GanttView[[#This Row],[_Row]]))</f>
        <v/>
      </c>
      <c r="I14" s="120" t="str">
        <f aca="false">IF(IFERROR(INDEX(tsk_Name,GanttView[[#This Row],[_Row]])="",TRUE()),"",INDEX(tsk_Progress,GanttView[[#This Row],[_Row]]))</f>
        <v/>
      </c>
      <c r="J14" s="118" t="str">
        <f aca="false">IF(IFERROR(INDEX(tsk_Name,GanttView[[#This Row],[_Row]])="",TRUE()),"",INDEX(tsk_ResourceNames,GanttView[[#This Row],[_Row]])&amp;"")</f>
        <v/>
      </c>
      <c r="K14" s="117" t="str">
        <f aca="false">IF(IFERROR(INDEX(tsk_Name,GanttView[[#This Row],[_Row]])="",TRUE()),"",INDEX(tsk_Status,GanttView[[#This Row],[_Row]]))</f>
        <v/>
      </c>
      <c r="L14" s="121" t="n">
        <f aca="false">ROW()-ROW(GanttView[[#Headers],[ID]])</f>
        <v>9</v>
      </c>
      <c r="M14" s="122" t="b">
        <f aca="false">IF(IFERROR(INDEX(tsk_Name,GanttView[[#This Row],[_Row]])="",TRUE()),FALSE(),INDEX(tsk_IsSummary,GanttView[[#This Row],[_Row]]))</f>
        <v>0</v>
      </c>
      <c r="N14" s="122" t="b">
        <f aca="false">IF(IFERROR(INDEX(tsk_Name,GanttView[[#This Row],[_Row]])="",TRUE()),FALSE(),AND(INDEX(tsk_IsLeaf,GanttView[[#This Row],[_Row]])=1,N(INDEX(tsk_Duration,GanttView[[#This Row],[_Row]]))=0))</f>
        <v>0</v>
      </c>
      <c r="O14" s="123" t="n">
        <f aca="false">IF(IFERROR(INDEX(tsk_Name,GanttView[[#This Row],[_Row]])="",TRUE()),0,IF(AND(INDEX(tsk_IsLeaf,GanttView[[#This Row],[_Row]])=1,NOT(GanttView[[#This Row],[_IsMilestone]]),N(GanttView[[#This Row],[%]])&gt;0),GanttView[[#This Row],[Forecast Start]],0))</f>
        <v>0</v>
      </c>
      <c r="P14" s="123" t="n">
        <f aca="false">IF(GanttView[[#This Row],[_DoneFrom]]=0,0,IF(GanttView[[#This Row],[%]]&gt;=1,GanttView[[#This Row],[Forecast Finish]],MAX(GanttView[[#This Row],[_DoneFrom]],GanttView[[#This Row],[Forecast Start]]+ROUND((GanttView[[#This Row],[Forecast Finish]]-GanttView[[#This Row],[Forecast Start]]+1)*GanttView[[#This Row],[%]],0)-1)))</f>
        <v>0</v>
      </c>
      <c r="Q14" s="123" t="n">
        <f aca="false">IF(IFERROR(INDEX(tsk_Name,GanttView[[#This Row],[_Row]])="",TRUE()),0,IF(OR(INDEX(tsk_IsLeaf,GanttView[[#This Row],[_Row]])&lt;&gt;1,GanttView[[#This Row],[_IsMilestone]],N(GanttView[[#This Row],[%]])&gt;=1),0,IF(GanttView[[#This Row],[_DoneTo]]&gt;0,GanttView[[#This Row],[_DoneTo]]+1,GanttView[[#This Row],[Forecast Start]])))</f>
        <v>0</v>
      </c>
      <c r="R14" s="123" t="n">
        <f aca="false">IF(GanttView[[#This Row],[_RemFrom]]=0,0,GanttView[[#This Row],[Forecast Finish]])</f>
        <v>0</v>
      </c>
      <c r="S14" s="122" t="b">
        <f aca="false">IF(IFERROR(INDEX(tsk_Name,GanttView[[#This Row],[_Row]])="",TRUE()),FALSE(),N(INDEX(tsk_Variance,GanttView[[#This Row],[_Row]]))&gt;0)</f>
        <v>0</v>
      </c>
      <c r="T14" s="123" t="n">
        <f aca="false">IF(IFERROR(INDEX(tsk_Name,GanttView[[#This Row],[_Row]])="",TRUE()),0,N(INDEX(tsk_Deadline,GanttView[[#This Row],[_Row]])))</f>
        <v>0</v>
      </c>
      <c r="U14" s="122" t="b">
        <f aca="false">IF(IFERROR(INDEX(tsk_Name,GanttView[[#This Row],[_Row]])="",TRUE()),FALSE(),INDEX(tsk_Critical,GanttView[[#This Row],[_Row]])="Yes")</f>
        <v>0</v>
      </c>
    </row>
    <row r="15" customFormat="false" ht="15" hidden="false" customHeight="false" outlineLevel="0" collapsed="false">
      <c r="A15" s="117" t="str">
        <f aca="false">IF(IFERROR(INDEX(tsk_Name,GanttView[[#This Row],[_Row]])="",TRUE()),"",INDEX(tsk_ID,GanttView[[#This Row],[_Row]]))</f>
        <v/>
      </c>
      <c r="B15" s="117" t="str">
        <f aca="false">IF(IFERROR(INDEX(tsk_Name,GanttView[[#This Row],[_Row]])="",TRUE()),"",INDEX(tsk_WBS,GanttView[[#This Row],[_Row]]))</f>
        <v/>
      </c>
      <c r="C15" s="118" t="str">
        <f aca="false">IF(IFERROR(INDEX(tsk_Name,GanttView[[#This Row],[_Row]])="",TRUE()),"",REPT("    ",INDEX(tsk_Level,GanttView[[#This Row],[_Row]])-1)&amp;INDEX(tsk_Name,GanttView[[#This Row],[_Row]]))</f>
        <v/>
      </c>
      <c r="D15" s="117" t="str">
        <f aca="false">IF(IFERROR(INDEX(tsk_Name,GanttView[[#This Row],[_Row]])="",TRUE()),"",IF(INDEX(tsk_IsSummary,GanttView[[#This Row],[_Row]]),NETWORKDAYS.INTL(INDEX(tsk_FcStart,GanttView[[#This Row],[_Row]]),INDEX(tsk_FcFinish,GanttView[[#This Row],[_Row]]),WorkWeek,Holidays),N(INDEX(tsk_Duration,GanttView[[#This Row],[_Row]]))))</f>
        <v/>
      </c>
      <c r="E15" s="119" t="str">
        <f aca="false">IF(IFERROR(INDEX(tsk_Name,GanttView[[#This Row],[_Row]])="",TRUE()),"",INDEX(tsk_PlanStart,GanttView[[#This Row],[_Row]]))</f>
        <v/>
      </c>
      <c r="F15" s="119" t="str">
        <f aca="false">IF(IFERROR(INDEX(tsk_Name,GanttView[[#This Row],[_Row]])="",TRUE()),"",INDEX(tsk_PlanFinish,GanttView[[#This Row],[_Row]]))</f>
        <v/>
      </c>
      <c r="G15" s="119" t="str">
        <f aca="false">IF(IFERROR(INDEX(tsk_Name,GanttView[[#This Row],[_Row]])="",TRUE()),"",INDEX(tsk_FcStart,GanttView[[#This Row],[_Row]]))</f>
        <v/>
      </c>
      <c r="H15" s="119" t="str">
        <f aca="false">IF(IFERROR(INDEX(tsk_Name,GanttView[[#This Row],[_Row]])="",TRUE()),"",INDEX(tsk_FcFinish,GanttView[[#This Row],[_Row]]))</f>
        <v/>
      </c>
      <c r="I15" s="120" t="str">
        <f aca="false">IF(IFERROR(INDEX(tsk_Name,GanttView[[#This Row],[_Row]])="",TRUE()),"",INDEX(tsk_Progress,GanttView[[#This Row],[_Row]]))</f>
        <v/>
      </c>
      <c r="J15" s="118" t="str">
        <f aca="false">IF(IFERROR(INDEX(tsk_Name,GanttView[[#This Row],[_Row]])="",TRUE()),"",INDEX(tsk_ResourceNames,GanttView[[#This Row],[_Row]])&amp;"")</f>
        <v/>
      </c>
      <c r="K15" s="117" t="str">
        <f aca="false">IF(IFERROR(INDEX(tsk_Name,GanttView[[#This Row],[_Row]])="",TRUE()),"",INDEX(tsk_Status,GanttView[[#This Row],[_Row]]))</f>
        <v/>
      </c>
      <c r="L15" s="121" t="n">
        <f aca="false">ROW()-ROW(GanttView[[#Headers],[ID]])</f>
        <v>10</v>
      </c>
      <c r="M15" s="122" t="b">
        <f aca="false">IF(IFERROR(INDEX(tsk_Name,GanttView[[#This Row],[_Row]])="",TRUE()),FALSE(),INDEX(tsk_IsSummary,GanttView[[#This Row],[_Row]]))</f>
        <v>0</v>
      </c>
      <c r="N15" s="122" t="b">
        <f aca="false">IF(IFERROR(INDEX(tsk_Name,GanttView[[#This Row],[_Row]])="",TRUE()),FALSE(),AND(INDEX(tsk_IsLeaf,GanttView[[#This Row],[_Row]])=1,N(INDEX(tsk_Duration,GanttView[[#This Row],[_Row]]))=0))</f>
        <v>0</v>
      </c>
      <c r="O15" s="123" t="n">
        <f aca="false">IF(IFERROR(INDEX(tsk_Name,GanttView[[#This Row],[_Row]])="",TRUE()),0,IF(AND(INDEX(tsk_IsLeaf,GanttView[[#This Row],[_Row]])=1,NOT(GanttView[[#This Row],[_IsMilestone]]),N(GanttView[[#This Row],[%]])&gt;0),GanttView[[#This Row],[Forecast Start]],0))</f>
        <v>0</v>
      </c>
      <c r="P15" s="123" t="n">
        <f aca="false">IF(GanttView[[#This Row],[_DoneFrom]]=0,0,IF(GanttView[[#This Row],[%]]&gt;=1,GanttView[[#This Row],[Forecast Finish]],MAX(GanttView[[#This Row],[_DoneFrom]],GanttView[[#This Row],[Forecast Start]]+ROUND((GanttView[[#This Row],[Forecast Finish]]-GanttView[[#This Row],[Forecast Start]]+1)*GanttView[[#This Row],[%]],0)-1)))</f>
        <v>0</v>
      </c>
      <c r="Q15" s="123" t="n">
        <f aca="false">IF(IFERROR(INDEX(tsk_Name,GanttView[[#This Row],[_Row]])="",TRUE()),0,IF(OR(INDEX(tsk_IsLeaf,GanttView[[#This Row],[_Row]])&lt;&gt;1,GanttView[[#This Row],[_IsMilestone]],N(GanttView[[#This Row],[%]])&gt;=1),0,IF(GanttView[[#This Row],[_DoneTo]]&gt;0,GanttView[[#This Row],[_DoneTo]]+1,GanttView[[#This Row],[Forecast Start]])))</f>
        <v>0</v>
      </c>
      <c r="R15" s="123" t="n">
        <f aca="false">IF(GanttView[[#This Row],[_RemFrom]]=0,0,GanttView[[#This Row],[Forecast Finish]])</f>
        <v>0</v>
      </c>
      <c r="S15" s="122" t="b">
        <f aca="false">IF(IFERROR(INDEX(tsk_Name,GanttView[[#This Row],[_Row]])="",TRUE()),FALSE(),N(INDEX(tsk_Variance,GanttView[[#This Row],[_Row]]))&gt;0)</f>
        <v>0</v>
      </c>
      <c r="T15" s="123" t="n">
        <f aca="false">IF(IFERROR(INDEX(tsk_Name,GanttView[[#This Row],[_Row]])="",TRUE()),0,N(INDEX(tsk_Deadline,GanttView[[#This Row],[_Row]])))</f>
        <v>0</v>
      </c>
      <c r="U15" s="122" t="b">
        <f aca="false">IF(IFERROR(INDEX(tsk_Name,GanttView[[#This Row],[_Row]])="",TRUE()),FALSE(),INDEX(tsk_Critical,GanttView[[#This Row],[_Row]])="Yes")</f>
        <v>0</v>
      </c>
    </row>
    <row r="16" customFormat="false" ht="15" hidden="false" customHeight="false" outlineLevel="0" collapsed="false">
      <c r="A16" s="117" t="str">
        <f aca="false">IF(IFERROR(INDEX(tsk_Name,GanttView[[#This Row],[_Row]])="",TRUE()),"",INDEX(tsk_ID,GanttView[[#This Row],[_Row]]))</f>
        <v/>
      </c>
      <c r="B16" s="117" t="str">
        <f aca="false">IF(IFERROR(INDEX(tsk_Name,GanttView[[#This Row],[_Row]])="",TRUE()),"",INDEX(tsk_WBS,GanttView[[#This Row],[_Row]]))</f>
        <v/>
      </c>
      <c r="C16" s="118" t="str">
        <f aca="false">IF(IFERROR(INDEX(tsk_Name,GanttView[[#This Row],[_Row]])="",TRUE()),"",REPT("    ",INDEX(tsk_Level,GanttView[[#This Row],[_Row]])-1)&amp;INDEX(tsk_Name,GanttView[[#This Row],[_Row]]))</f>
        <v/>
      </c>
      <c r="D16" s="117" t="str">
        <f aca="false">IF(IFERROR(INDEX(tsk_Name,GanttView[[#This Row],[_Row]])="",TRUE()),"",IF(INDEX(tsk_IsSummary,GanttView[[#This Row],[_Row]]),NETWORKDAYS.INTL(INDEX(tsk_FcStart,GanttView[[#This Row],[_Row]]),INDEX(tsk_FcFinish,GanttView[[#This Row],[_Row]]),WorkWeek,Holidays),N(INDEX(tsk_Duration,GanttView[[#This Row],[_Row]]))))</f>
        <v/>
      </c>
      <c r="E16" s="119" t="str">
        <f aca="false">IF(IFERROR(INDEX(tsk_Name,GanttView[[#This Row],[_Row]])="",TRUE()),"",INDEX(tsk_PlanStart,GanttView[[#This Row],[_Row]]))</f>
        <v/>
      </c>
      <c r="F16" s="119" t="str">
        <f aca="false">IF(IFERROR(INDEX(tsk_Name,GanttView[[#This Row],[_Row]])="",TRUE()),"",INDEX(tsk_PlanFinish,GanttView[[#This Row],[_Row]]))</f>
        <v/>
      </c>
      <c r="G16" s="119" t="str">
        <f aca="false">IF(IFERROR(INDEX(tsk_Name,GanttView[[#This Row],[_Row]])="",TRUE()),"",INDEX(tsk_FcStart,GanttView[[#This Row],[_Row]]))</f>
        <v/>
      </c>
      <c r="H16" s="119" t="str">
        <f aca="false">IF(IFERROR(INDEX(tsk_Name,GanttView[[#This Row],[_Row]])="",TRUE()),"",INDEX(tsk_FcFinish,GanttView[[#This Row],[_Row]]))</f>
        <v/>
      </c>
      <c r="I16" s="120" t="str">
        <f aca="false">IF(IFERROR(INDEX(tsk_Name,GanttView[[#This Row],[_Row]])="",TRUE()),"",INDEX(tsk_Progress,GanttView[[#This Row],[_Row]]))</f>
        <v/>
      </c>
      <c r="J16" s="118" t="str">
        <f aca="false">IF(IFERROR(INDEX(tsk_Name,GanttView[[#This Row],[_Row]])="",TRUE()),"",INDEX(tsk_ResourceNames,GanttView[[#This Row],[_Row]])&amp;"")</f>
        <v/>
      </c>
      <c r="K16" s="117" t="str">
        <f aca="false">IF(IFERROR(INDEX(tsk_Name,GanttView[[#This Row],[_Row]])="",TRUE()),"",INDEX(tsk_Status,GanttView[[#This Row],[_Row]]))</f>
        <v/>
      </c>
      <c r="L16" s="121" t="n">
        <f aca="false">ROW()-ROW(GanttView[[#Headers],[ID]])</f>
        <v>11</v>
      </c>
      <c r="M16" s="122" t="b">
        <f aca="false">IF(IFERROR(INDEX(tsk_Name,GanttView[[#This Row],[_Row]])="",TRUE()),FALSE(),INDEX(tsk_IsSummary,GanttView[[#This Row],[_Row]]))</f>
        <v>0</v>
      </c>
      <c r="N16" s="122" t="b">
        <f aca="false">IF(IFERROR(INDEX(tsk_Name,GanttView[[#This Row],[_Row]])="",TRUE()),FALSE(),AND(INDEX(tsk_IsLeaf,GanttView[[#This Row],[_Row]])=1,N(INDEX(tsk_Duration,GanttView[[#This Row],[_Row]]))=0))</f>
        <v>0</v>
      </c>
      <c r="O16" s="123" t="n">
        <f aca="false">IF(IFERROR(INDEX(tsk_Name,GanttView[[#This Row],[_Row]])="",TRUE()),0,IF(AND(INDEX(tsk_IsLeaf,GanttView[[#This Row],[_Row]])=1,NOT(GanttView[[#This Row],[_IsMilestone]]),N(GanttView[[#This Row],[%]])&gt;0),GanttView[[#This Row],[Forecast Start]],0))</f>
        <v>0</v>
      </c>
      <c r="P16" s="123" t="n">
        <f aca="false">IF(GanttView[[#This Row],[_DoneFrom]]=0,0,IF(GanttView[[#This Row],[%]]&gt;=1,GanttView[[#This Row],[Forecast Finish]],MAX(GanttView[[#This Row],[_DoneFrom]],GanttView[[#This Row],[Forecast Start]]+ROUND((GanttView[[#This Row],[Forecast Finish]]-GanttView[[#This Row],[Forecast Start]]+1)*GanttView[[#This Row],[%]],0)-1)))</f>
        <v>0</v>
      </c>
      <c r="Q16" s="123" t="n">
        <f aca="false">IF(IFERROR(INDEX(tsk_Name,GanttView[[#This Row],[_Row]])="",TRUE()),0,IF(OR(INDEX(tsk_IsLeaf,GanttView[[#This Row],[_Row]])&lt;&gt;1,GanttView[[#This Row],[_IsMilestone]],N(GanttView[[#This Row],[%]])&gt;=1),0,IF(GanttView[[#This Row],[_DoneTo]]&gt;0,GanttView[[#This Row],[_DoneTo]]+1,GanttView[[#This Row],[Forecast Start]])))</f>
        <v>0</v>
      </c>
      <c r="R16" s="123" t="n">
        <f aca="false">IF(GanttView[[#This Row],[_RemFrom]]=0,0,GanttView[[#This Row],[Forecast Finish]])</f>
        <v>0</v>
      </c>
      <c r="S16" s="122" t="b">
        <f aca="false">IF(IFERROR(INDEX(tsk_Name,GanttView[[#This Row],[_Row]])="",TRUE()),FALSE(),N(INDEX(tsk_Variance,GanttView[[#This Row],[_Row]]))&gt;0)</f>
        <v>0</v>
      </c>
      <c r="T16" s="123" t="n">
        <f aca="false">IF(IFERROR(INDEX(tsk_Name,GanttView[[#This Row],[_Row]])="",TRUE()),0,N(INDEX(tsk_Deadline,GanttView[[#This Row],[_Row]])))</f>
        <v>0</v>
      </c>
      <c r="U16" s="122" t="b">
        <f aca="false">IF(IFERROR(INDEX(tsk_Name,GanttView[[#This Row],[_Row]])="",TRUE()),FALSE(),INDEX(tsk_Critical,GanttView[[#This Row],[_Row]])="Yes")</f>
        <v>0</v>
      </c>
    </row>
    <row r="17" customFormat="false" ht="15" hidden="false" customHeight="false" outlineLevel="0" collapsed="false">
      <c r="A17" s="117" t="str">
        <f aca="false">IF(IFERROR(INDEX(tsk_Name,GanttView[[#This Row],[_Row]])="",TRUE()),"",INDEX(tsk_ID,GanttView[[#This Row],[_Row]]))</f>
        <v/>
      </c>
      <c r="B17" s="117" t="str">
        <f aca="false">IF(IFERROR(INDEX(tsk_Name,GanttView[[#This Row],[_Row]])="",TRUE()),"",INDEX(tsk_WBS,GanttView[[#This Row],[_Row]]))</f>
        <v/>
      </c>
      <c r="C17" s="118" t="str">
        <f aca="false">IF(IFERROR(INDEX(tsk_Name,GanttView[[#This Row],[_Row]])="",TRUE()),"",REPT("    ",INDEX(tsk_Level,GanttView[[#This Row],[_Row]])-1)&amp;INDEX(tsk_Name,GanttView[[#This Row],[_Row]]))</f>
        <v/>
      </c>
      <c r="D17" s="117" t="str">
        <f aca="false">IF(IFERROR(INDEX(tsk_Name,GanttView[[#This Row],[_Row]])="",TRUE()),"",IF(INDEX(tsk_IsSummary,GanttView[[#This Row],[_Row]]),NETWORKDAYS.INTL(INDEX(tsk_FcStart,GanttView[[#This Row],[_Row]]),INDEX(tsk_FcFinish,GanttView[[#This Row],[_Row]]),WorkWeek,Holidays),N(INDEX(tsk_Duration,GanttView[[#This Row],[_Row]]))))</f>
        <v/>
      </c>
      <c r="E17" s="119" t="str">
        <f aca="false">IF(IFERROR(INDEX(tsk_Name,GanttView[[#This Row],[_Row]])="",TRUE()),"",INDEX(tsk_PlanStart,GanttView[[#This Row],[_Row]]))</f>
        <v/>
      </c>
      <c r="F17" s="119" t="str">
        <f aca="false">IF(IFERROR(INDEX(tsk_Name,GanttView[[#This Row],[_Row]])="",TRUE()),"",INDEX(tsk_PlanFinish,GanttView[[#This Row],[_Row]]))</f>
        <v/>
      </c>
      <c r="G17" s="119" t="str">
        <f aca="false">IF(IFERROR(INDEX(tsk_Name,GanttView[[#This Row],[_Row]])="",TRUE()),"",INDEX(tsk_FcStart,GanttView[[#This Row],[_Row]]))</f>
        <v/>
      </c>
      <c r="H17" s="119" t="str">
        <f aca="false">IF(IFERROR(INDEX(tsk_Name,GanttView[[#This Row],[_Row]])="",TRUE()),"",INDEX(tsk_FcFinish,GanttView[[#This Row],[_Row]]))</f>
        <v/>
      </c>
      <c r="I17" s="120" t="str">
        <f aca="false">IF(IFERROR(INDEX(tsk_Name,GanttView[[#This Row],[_Row]])="",TRUE()),"",INDEX(tsk_Progress,GanttView[[#This Row],[_Row]]))</f>
        <v/>
      </c>
      <c r="J17" s="118" t="str">
        <f aca="false">IF(IFERROR(INDEX(tsk_Name,GanttView[[#This Row],[_Row]])="",TRUE()),"",INDEX(tsk_ResourceNames,GanttView[[#This Row],[_Row]])&amp;"")</f>
        <v/>
      </c>
      <c r="K17" s="117" t="str">
        <f aca="false">IF(IFERROR(INDEX(tsk_Name,GanttView[[#This Row],[_Row]])="",TRUE()),"",INDEX(tsk_Status,GanttView[[#This Row],[_Row]]))</f>
        <v/>
      </c>
      <c r="L17" s="121" t="n">
        <f aca="false">ROW()-ROW(GanttView[[#Headers],[ID]])</f>
        <v>12</v>
      </c>
      <c r="M17" s="122" t="b">
        <f aca="false">IF(IFERROR(INDEX(tsk_Name,GanttView[[#This Row],[_Row]])="",TRUE()),FALSE(),INDEX(tsk_IsSummary,GanttView[[#This Row],[_Row]]))</f>
        <v>0</v>
      </c>
      <c r="N17" s="122" t="b">
        <f aca="false">IF(IFERROR(INDEX(tsk_Name,GanttView[[#This Row],[_Row]])="",TRUE()),FALSE(),AND(INDEX(tsk_IsLeaf,GanttView[[#This Row],[_Row]])=1,N(INDEX(tsk_Duration,GanttView[[#This Row],[_Row]]))=0))</f>
        <v>0</v>
      </c>
      <c r="O17" s="123" t="n">
        <f aca="false">IF(IFERROR(INDEX(tsk_Name,GanttView[[#This Row],[_Row]])="",TRUE()),0,IF(AND(INDEX(tsk_IsLeaf,GanttView[[#This Row],[_Row]])=1,NOT(GanttView[[#This Row],[_IsMilestone]]),N(GanttView[[#This Row],[%]])&gt;0),GanttView[[#This Row],[Forecast Start]],0))</f>
        <v>0</v>
      </c>
      <c r="P17" s="123" t="n">
        <f aca="false">IF(GanttView[[#This Row],[_DoneFrom]]=0,0,IF(GanttView[[#This Row],[%]]&gt;=1,GanttView[[#This Row],[Forecast Finish]],MAX(GanttView[[#This Row],[_DoneFrom]],GanttView[[#This Row],[Forecast Start]]+ROUND((GanttView[[#This Row],[Forecast Finish]]-GanttView[[#This Row],[Forecast Start]]+1)*GanttView[[#This Row],[%]],0)-1)))</f>
        <v>0</v>
      </c>
      <c r="Q17" s="123" t="n">
        <f aca="false">IF(IFERROR(INDEX(tsk_Name,GanttView[[#This Row],[_Row]])="",TRUE()),0,IF(OR(INDEX(tsk_IsLeaf,GanttView[[#This Row],[_Row]])&lt;&gt;1,GanttView[[#This Row],[_IsMilestone]],N(GanttView[[#This Row],[%]])&gt;=1),0,IF(GanttView[[#This Row],[_DoneTo]]&gt;0,GanttView[[#This Row],[_DoneTo]]+1,GanttView[[#This Row],[Forecast Start]])))</f>
        <v>0</v>
      </c>
      <c r="R17" s="123" t="n">
        <f aca="false">IF(GanttView[[#This Row],[_RemFrom]]=0,0,GanttView[[#This Row],[Forecast Finish]])</f>
        <v>0</v>
      </c>
      <c r="S17" s="122" t="b">
        <f aca="false">IF(IFERROR(INDEX(tsk_Name,GanttView[[#This Row],[_Row]])="",TRUE()),FALSE(),N(INDEX(tsk_Variance,GanttView[[#This Row],[_Row]]))&gt;0)</f>
        <v>0</v>
      </c>
      <c r="T17" s="123" t="n">
        <f aca="false">IF(IFERROR(INDEX(tsk_Name,GanttView[[#This Row],[_Row]])="",TRUE()),0,N(INDEX(tsk_Deadline,GanttView[[#This Row],[_Row]])))</f>
        <v>0</v>
      </c>
      <c r="U17" s="122" t="b">
        <f aca="false">IF(IFERROR(INDEX(tsk_Name,GanttView[[#This Row],[_Row]])="",TRUE()),FALSE(),INDEX(tsk_Critical,GanttView[[#This Row],[_Row]])="Yes")</f>
        <v>0</v>
      </c>
    </row>
    <row r="18" customFormat="false" ht="15" hidden="false" customHeight="false" outlineLevel="0" collapsed="false">
      <c r="A18" s="117" t="str">
        <f aca="false">IF(IFERROR(INDEX(tsk_Name,GanttView[[#This Row],[_Row]])="",TRUE()),"",INDEX(tsk_ID,GanttView[[#This Row],[_Row]]))</f>
        <v/>
      </c>
      <c r="B18" s="117" t="str">
        <f aca="false">IF(IFERROR(INDEX(tsk_Name,GanttView[[#This Row],[_Row]])="",TRUE()),"",INDEX(tsk_WBS,GanttView[[#This Row],[_Row]]))</f>
        <v/>
      </c>
      <c r="C18" s="118" t="str">
        <f aca="false">IF(IFERROR(INDEX(tsk_Name,GanttView[[#This Row],[_Row]])="",TRUE()),"",REPT("    ",INDEX(tsk_Level,GanttView[[#This Row],[_Row]])-1)&amp;INDEX(tsk_Name,GanttView[[#This Row],[_Row]]))</f>
        <v/>
      </c>
      <c r="D18" s="117" t="str">
        <f aca="false">IF(IFERROR(INDEX(tsk_Name,GanttView[[#This Row],[_Row]])="",TRUE()),"",IF(INDEX(tsk_IsSummary,GanttView[[#This Row],[_Row]]),NETWORKDAYS.INTL(INDEX(tsk_FcStart,GanttView[[#This Row],[_Row]]),INDEX(tsk_FcFinish,GanttView[[#This Row],[_Row]]),WorkWeek,Holidays),N(INDEX(tsk_Duration,GanttView[[#This Row],[_Row]]))))</f>
        <v/>
      </c>
      <c r="E18" s="119" t="str">
        <f aca="false">IF(IFERROR(INDEX(tsk_Name,GanttView[[#This Row],[_Row]])="",TRUE()),"",INDEX(tsk_PlanStart,GanttView[[#This Row],[_Row]]))</f>
        <v/>
      </c>
      <c r="F18" s="119" t="str">
        <f aca="false">IF(IFERROR(INDEX(tsk_Name,GanttView[[#This Row],[_Row]])="",TRUE()),"",INDEX(tsk_PlanFinish,GanttView[[#This Row],[_Row]]))</f>
        <v/>
      </c>
      <c r="G18" s="119" t="str">
        <f aca="false">IF(IFERROR(INDEX(tsk_Name,GanttView[[#This Row],[_Row]])="",TRUE()),"",INDEX(tsk_FcStart,GanttView[[#This Row],[_Row]]))</f>
        <v/>
      </c>
      <c r="H18" s="119" t="str">
        <f aca="false">IF(IFERROR(INDEX(tsk_Name,GanttView[[#This Row],[_Row]])="",TRUE()),"",INDEX(tsk_FcFinish,GanttView[[#This Row],[_Row]]))</f>
        <v/>
      </c>
      <c r="I18" s="120" t="str">
        <f aca="false">IF(IFERROR(INDEX(tsk_Name,GanttView[[#This Row],[_Row]])="",TRUE()),"",INDEX(tsk_Progress,GanttView[[#This Row],[_Row]]))</f>
        <v/>
      </c>
      <c r="J18" s="118" t="str">
        <f aca="false">IF(IFERROR(INDEX(tsk_Name,GanttView[[#This Row],[_Row]])="",TRUE()),"",INDEX(tsk_ResourceNames,GanttView[[#This Row],[_Row]])&amp;"")</f>
        <v/>
      </c>
      <c r="K18" s="117" t="str">
        <f aca="false">IF(IFERROR(INDEX(tsk_Name,GanttView[[#This Row],[_Row]])="",TRUE()),"",INDEX(tsk_Status,GanttView[[#This Row],[_Row]]))</f>
        <v/>
      </c>
      <c r="L18" s="121" t="n">
        <f aca="false">ROW()-ROW(GanttView[[#Headers],[ID]])</f>
        <v>13</v>
      </c>
      <c r="M18" s="122" t="b">
        <f aca="false">IF(IFERROR(INDEX(tsk_Name,GanttView[[#This Row],[_Row]])="",TRUE()),FALSE(),INDEX(tsk_IsSummary,GanttView[[#This Row],[_Row]]))</f>
        <v>0</v>
      </c>
      <c r="N18" s="122" t="b">
        <f aca="false">IF(IFERROR(INDEX(tsk_Name,GanttView[[#This Row],[_Row]])="",TRUE()),FALSE(),AND(INDEX(tsk_IsLeaf,GanttView[[#This Row],[_Row]])=1,N(INDEX(tsk_Duration,GanttView[[#This Row],[_Row]]))=0))</f>
        <v>0</v>
      </c>
      <c r="O18" s="123" t="n">
        <f aca="false">IF(IFERROR(INDEX(tsk_Name,GanttView[[#This Row],[_Row]])="",TRUE()),0,IF(AND(INDEX(tsk_IsLeaf,GanttView[[#This Row],[_Row]])=1,NOT(GanttView[[#This Row],[_IsMilestone]]),N(GanttView[[#This Row],[%]])&gt;0),GanttView[[#This Row],[Forecast Start]],0))</f>
        <v>0</v>
      </c>
      <c r="P18" s="123" t="n">
        <f aca="false">IF(GanttView[[#This Row],[_DoneFrom]]=0,0,IF(GanttView[[#This Row],[%]]&gt;=1,GanttView[[#This Row],[Forecast Finish]],MAX(GanttView[[#This Row],[_DoneFrom]],GanttView[[#This Row],[Forecast Start]]+ROUND((GanttView[[#This Row],[Forecast Finish]]-GanttView[[#This Row],[Forecast Start]]+1)*GanttView[[#This Row],[%]],0)-1)))</f>
        <v>0</v>
      </c>
      <c r="Q18" s="123" t="n">
        <f aca="false">IF(IFERROR(INDEX(tsk_Name,GanttView[[#This Row],[_Row]])="",TRUE()),0,IF(OR(INDEX(tsk_IsLeaf,GanttView[[#This Row],[_Row]])&lt;&gt;1,GanttView[[#This Row],[_IsMilestone]],N(GanttView[[#This Row],[%]])&gt;=1),0,IF(GanttView[[#This Row],[_DoneTo]]&gt;0,GanttView[[#This Row],[_DoneTo]]+1,GanttView[[#This Row],[Forecast Start]])))</f>
        <v>0</v>
      </c>
      <c r="R18" s="123" t="n">
        <f aca="false">IF(GanttView[[#This Row],[_RemFrom]]=0,0,GanttView[[#This Row],[Forecast Finish]])</f>
        <v>0</v>
      </c>
      <c r="S18" s="122" t="b">
        <f aca="false">IF(IFERROR(INDEX(tsk_Name,GanttView[[#This Row],[_Row]])="",TRUE()),FALSE(),N(INDEX(tsk_Variance,GanttView[[#This Row],[_Row]]))&gt;0)</f>
        <v>0</v>
      </c>
      <c r="T18" s="123" t="n">
        <f aca="false">IF(IFERROR(INDEX(tsk_Name,GanttView[[#This Row],[_Row]])="",TRUE()),0,N(INDEX(tsk_Deadline,GanttView[[#This Row],[_Row]])))</f>
        <v>0</v>
      </c>
      <c r="U18" s="122" t="b">
        <f aca="false">IF(IFERROR(INDEX(tsk_Name,GanttView[[#This Row],[_Row]])="",TRUE()),FALSE(),INDEX(tsk_Critical,GanttView[[#This Row],[_Row]])="Yes")</f>
        <v>0</v>
      </c>
    </row>
    <row r="19" customFormat="false" ht="15" hidden="false" customHeight="false" outlineLevel="0" collapsed="false">
      <c r="A19" s="117" t="str">
        <f aca="false">IF(IFERROR(INDEX(tsk_Name,GanttView[[#This Row],[_Row]])="",TRUE()),"",INDEX(tsk_ID,GanttView[[#This Row],[_Row]]))</f>
        <v/>
      </c>
      <c r="B19" s="117" t="str">
        <f aca="false">IF(IFERROR(INDEX(tsk_Name,GanttView[[#This Row],[_Row]])="",TRUE()),"",INDEX(tsk_WBS,GanttView[[#This Row],[_Row]]))</f>
        <v/>
      </c>
      <c r="C19" s="118" t="str">
        <f aca="false">IF(IFERROR(INDEX(tsk_Name,GanttView[[#This Row],[_Row]])="",TRUE()),"",REPT("    ",INDEX(tsk_Level,GanttView[[#This Row],[_Row]])-1)&amp;INDEX(tsk_Name,GanttView[[#This Row],[_Row]]))</f>
        <v/>
      </c>
      <c r="D19" s="117" t="str">
        <f aca="false">IF(IFERROR(INDEX(tsk_Name,GanttView[[#This Row],[_Row]])="",TRUE()),"",IF(INDEX(tsk_IsSummary,GanttView[[#This Row],[_Row]]),NETWORKDAYS.INTL(INDEX(tsk_FcStart,GanttView[[#This Row],[_Row]]),INDEX(tsk_FcFinish,GanttView[[#This Row],[_Row]]),WorkWeek,Holidays),N(INDEX(tsk_Duration,GanttView[[#This Row],[_Row]]))))</f>
        <v/>
      </c>
      <c r="E19" s="119" t="str">
        <f aca="false">IF(IFERROR(INDEX(tsk_Name,GanttView[[#This Row],[_Row]])="",TRUE()),"",INDEX(tsk_PlanStart,GanttView[[#This Row],[_Row]]))</f>
        <v/>
      </c>
      <c r="F19" s="119" t="str">
        <f aca="false">IF(IFERROR(INDEX(tsk_Name,GanttView[[#This Row],[_Row]])="",TRUE()),"",INDEX(tsk_PlanFinish,GanttView[[#This Row],[_Row]]))</f>
        <v/>
      </c>
      <c r="G19" s="119" t="str">
        <f aca="false">IF(IFERROR(INDEX(tsk_Name,GanttView[[#This Row],[_Row]])="",TRUE()),"",INDEX(tsk_FcStart,GanttView[[#This Row],[_Row]]))</f>
        <v/>
      </c>
      <c r="H19" s="119" t="str">
        <f aca="false">IF(IFERROR(INDEX(tsk_Name,GanttView[[#This Row],[_Row]])="",TRUE()),"",INDEX(tsk_FcFinish,GanttView[[#This Row],[_Row]]))</f>
        <v/>
      </c>
      <c r="I19" s="120" t="str">
        <f aca="false">IF(IFERROR(INDEX(tsk_Name,GanttView[[#This Row],[_Row]])="",TRUE()),"",INDEX(tsk_Progress,GanttView[[#This Row],[_Row]]))</f>
        <v/>
      </c>
      <c r="J19" s="118" t="str">
        <f aca="false">IF(IFERROR(INDEX(tsk_Name,GanttView[[#This Row],[_Row]])="",TRUE()),"",INDEX(tsk_ResourceNames,GanttView[[#This Row],[_Row]])&amp;"")</f>
        <v/>
      </c>
      <c r="K19" s="117" t="str">
        <f aca="false">IF(IFERROR(INDEX(tsk_Name,GanttView[[#This Row],[_Row]])="",TRUE()),"",INDEX(tsk_Status,GanttView[[#This Row],[_Row]]))</f>
        <v/>
      </c>
      <c r="L19" s="121" t="n">
        <f aca="false">ROW()-ROW(GanttView[[#Headers],[ID]])</f>
        <v>14</v>
      </c>
      <c r="M19" s="122" t="b">
        <f aca="false">IF(IFERROR(INDEX(tsk_Name,GanttView[[#This Row],[_Row]])="",TRUE()),FALSE(),INDEX(tsk_IsSummary,GanttView[[#This Row],[_Row]]))</f>
        <v>0</v>
      </c>
      <c r="N19" s="122" t="b">
        <f aca="false">IF(IFERROR(INDEX(tsk_Name,GanttView[[#This Row],[_Row]])="",TRUE()),FALSE(),AND(INDEX(tsk_IsLeaf,GanttView[[#This Row],[_Row]])=1,N(INDEX(tsk_Duration,GanttView[[#This Row],[_Row]]))=0))</f>
        <v>0</v>
      </c>
      <c r="O19" s="123" t="n">
        <f aca="false">IF(IFERROR(INDEX(tsk_Name,GanttView[[#This Row],[_Row]])="",TRUE()),0,IF(AND(INDEX(tsk_IsLeaf,GanttView[[#This Row],[_Row]])=1,NOT(GanttView[[#This Row],[_IsMilestone]]),N(GanttView[[#This Row],[%]])&gt;0),GanttView[[#This Row],[Forecast Start]],0))</f>
        <v>0</v>
      </c>
      <c r="P19" s="123" t="n">
        <f aca="false">IF(GanttView[[#This Row],[_DoneFrom]]=0,0,IF(GanttView[[#This Row],[%]]&gt;=1,GanttView[[#This Row],[Forecast Finish]],MAX(GanttView[[#This Row],[_DoneFrom]],GanttView[[#This Row],[Forecast Start]]+ROUND((GanttView[[#This Row],[Forecast Finish]]-GanttView[[#This Row],[Forecast Start]]+1)*GanttView[[#This Row],[%]],0)-1)))</f>
        <v>0</v>
      </c>
      <c r="Q19" s="123" t="n">
        <f aca="false">IF(IFERROR(INDEX(tsk_Name,GanttView[[#This Row],[_Row]])="",TRUE()),0,IF(OR(INDEX(tsk_IsLeaf,GanttView[[#This Row],[_Row]])&lt;&gt;1,GanttView[[#This Row],[_IsMilestone]],N(GanttView[[#This Row],[%]])&gt;=1),0,IF(GanttView[[#This Row],[_DoneTo]]&gt;0,GanttView[[#This Row],[_DoneTo]]+1,GanttView[[#This Row],[Forecast Start]])))</f>
        <v>0</v>
      </c>
      <c r="R19" s="123" t="n">
        <f aca="false">IF(GanttView[[#This Row],[_RemFrom]]=0,0,GanttView[[#This Row],[Forecast Finish]])</f>
        <v>0</v>
      </c>
      <c r="S19" s="122" t="b">
        <f aca="false">IF(IFERROR(INDEX(tsk_Name,GanttView[[#This Row],[_Row]])="",TRUE()),FALSE(),N(INDEX(tsk_Variance,GanttView[[#This Row],[_Row]]))&gt;0)</f>
        <v>0</v>
      </c>
      <c r="T19" s="123" t="n">
        <f aca="false">IF(IFERROR(INDEX(tsk_Name,GanttView[[#This Row],[_Row]])="",TRUE()),0,N(INDEX(tsk_Deadline,GanttView[[#This Row],[_Row]])))</f>
        <v>0</v>
      </c>
      <c r="U19" s="122" t="b">
        <f aca="false">IF(IFERROR(INDEX(tsk_Name,GanttView[[#This Row],[_Row]])="",TRUE()),FALSE(),INDEX(tsk_Critical,GanttView[[#This Row],[_Row]])="Yes")</f>
        <v>0</v>
      </c>
    </row>
    <row r="20" customFormat="false" ht="15" hidden="false" customHeight="false" outlineLevel="0" collapsed="false">
      <c r="A20" s="117" t="str">
        <f aca="false">IF(IFERROR(INDEX(tsk_Name,GanttView[[#This Row],[_Row]])="",TRUE()),"",INDEX(tsk_ID,GanttView[[#This Row],[_Row]]))</f>
        <v/>
      </c>
      <c r="B20" s="117" t="str">
        <f aca="false">IF(IFERROR(INDEX(tsk_Name,GanttView[[#This Row],[_Row]])="",TRUE()),"",INDEX(tsk_WBS,GanttView[[#This Row],[_Row]]))</f>
        <v/>
      </c>
      <c r="C20" s="118" t="str">
        <f aca="false">IF(IFERROR(INDEX(tsk_Name,GanttView[[#This Row],[_Row]])="",TRUE()),"",REPT("    ",INDEX(tsk_Level,GanttView[[#This Row],[_Row]])-1)&amp;INDEX(tsk_Name,GanttView[[#This Row],[_Row]]))</f>
        <v/>
      </c>
      <c r="D20" s="117" t="str">
        <f aca="false">IF(IFERROR(INDEX(tsk_Name,GanttView[[#This Row],[_Row]])="",TRUE()),"",IF(INDEX(tsk_IsSummary,GanttView[[#This Row],[_Row]]),NETWORKDAYS.INTL(INDEX(tsk_FcStart,GanttView[[#This Row],[_Row]]),INDEX(tsk_FcFinish,GanttView[[#This Row],[_Row]]),WorkWeek,Holidays),N(INDEX(tsk_Duration,GanttView[[#This Row],[_Row]]))))</f>
        <v/>
      </c>
      <c r="E20" s="119" t="str">
        <f aca="false">IF(IFERROR(INDEX(tsk_Name,GanttView[[#This Row],[_Row]])="",TRUE()),"",INDEX(tsk_PlanStart,GanttView[[#This Row],[_Row]]))</f>
        <v/>
      </c>
      <c r="F20" s="119" t="str">
        <f aca="false">IF(IFERROR(INDEX(tsk_Name,GanttView[[#This Row],[_Row]])="",TRUE()),"",INDEX(tsk_PlanFinish,GanttView[[#This Row],[_Row]]))</f>
        <v/>
      </c>
      <c r="G20" s="119" t="str">
        <f aca="false">IF(IFERROR(INDEX(tsk_Name,GanttView[[#This Row],[_Row]])="",TRUE()),"",INDEX(tsk_FcStart,GanttView[[#This Row],[_Row]]))</f>
        <v/>
      </c>
      <c r="H20" s="119" t="str">
        <f aca="false">IF(IFERROR(INDEX(tsk_Name,GanttView[[#This Row],[_Row]])="",TRUE()),"",INDEX(tsk_FcFinish,GanttView[[#This Row],[_Row]]))</f>
        <v/>
      </c>
      <c r="I20" s="120" t="str">
        <f aca="false">IF(IFERROR(INDEX(tsk_Name,GanttView[[#This Row],[_Row]])="",TRUE()),"",INDEX(tsk_Progress,GanttView[[#This Row],[_Row]]))</f>
        <v/>
      </c>
      <c r="J20" s="118" t="str">
        <f aca="false">IF(IFERROR(INDEX(tsk_Name,GanttView[[#This Row],[_Row]])="",TRUE()),"",INDEX(tsk_ResourceNames,GanttView[[#This Row],[_Row]])&amp;"")</f>
        <v/>
      </c>
      <c r="K20" s="117" t="str">
        <f aca="false">IF(IFERROR(INDEX(tsk_Name,GanttView[[#This Row],[_Row]])="",TRUE()),"",INDEX(tsk_Status,GanttView[[#This Row],[_Row]]))</f>
        <v/>
      </c>
      <c r="L20" s="121" t="n">
        <f aca="false">ROW()-ROW(GanttView[[#Headers],[ID]])</f>
        <v>15</v>
      </c>
      <c r="M20" s="122" t="b">
        <f aca="false">IF(IFERROR(INDEX(tsk_Name,GanttView[[#This Row],[_Row]])="",TRUE()),FALSE(),INDEX(tsk_IsSummary,GanttView[[#This Row],[_Row]]))</f>
        <v>0</v>
      </c>
      <c r="N20" s="122" t="b">
        <f aca="false">IF(IFERROR(INDEX(tsk_Name,GanttView[[#This Row],[_Row]])="",TRUE()),FALSE(),AND(INDEX(tsk_IsLeaf,GanttView[[#This Row],[_Row]])=1,N(INDEX(tsk_Duration,GanttView[[#This Row],[_Row]]))=0))</f>
        <v>0</v>
      </c>
      <c r="O20" s="123" t="n">
        <f aca="false">IF(IFERROR(INDEX(tsk_Name,GanttView[[#This Row],[_Row]])="",TRUE()),0,IF(AND(INDEX(tsk_IsLeaf,GanttView[[#This Row],[_Row]])=1,NOT(GanttView[[#This Row],[_IsMilestone]]),N(GanttView[[#This Row],[%]])&gt;0),GanttView[[#This Row],[Forecast Start]],0))</f>
        <v>0</v>
      </c>
      <c r="P20" s="123" t="n">
        <f aca="false">IF(GanttView[[#This Row],[_DoneFrom]]=0,0,IF(GanttView[[#This Row],[%]]&gt;=1,GanttView[[#This Row],[Forecast Finish]],MAX(GanttView[[#This Row],[_DoneFrom]],GanttView[[#This Row],[Forecast Start]]+ROUND((GanttView[[#This Row],[Forecast Finish]]-GanttView[[#This Row],[Forecast Start]]+1)*GanttView[[#This Row],[%]],0)-1)))</f>
        <v>0</v>
      </c>
      <c r="Q20" s="123" t="n">
        <f aca="false">IF(IFERROR(INDEX(tsk_Name,GanttView[[#This Row],[_Row]])="",TRUE()),0,IF(OR(INDEX(tsk_IsLeaf,GanttView[[#This Row],[_Row]])&lt;&gt;1,GanttView[[#This Row],[_IsMilestone]],N(GanttView[[#This Row],[%]])&gt;=1),0,IF(GanttView[[#This Row],[_DoneTo]]&gt;0,GanttView[[#This Row],[_DoneTo]]+1,GanttView[[#This Row],[Forecast Start]])))</f>
        <v>0</v>
      </c>
      <c r="R20" s="123" t="n">
        <f aca="false">IF(GanttView[[#This Row],[_RemFrom]]=0,0,GanttView[[#This Row],[Forecast Finish]])</f>
        <v>0</v>
      </c>
      <c r="S20" s="122" t="b">
        <f aca="false">IF(IFERROR(INDEX(tsk_Name,GanttView[[#This Row],[_Row]])="",TRUE()),FALSE(),N(INDEX(tsk_Variance,GanttView[[#This Row],[_Row]]))&gt;0)</f>
        <v>0</v>
      </c>
      <c r="T20" s="123" t="n">
        <f aca="false">IF(IFERROR(INDEX(tsk_Name,GanttView[[#This Row],[_Row]])="",TRUE()),0,N(INDEX(tsk_Deadline,GanttView[[#This Row],[_Row]])))</f>
        <v>0</v>
      </c>
      <c r="U20" s="122" t="b">
        <f aca="false">IF(IFERROR(INDEX(tsk_Name,GanttView[[#This Row],[_Row]])="",TRUE()),FALSE(),INDEX(tsk_Critical,GanttView[[#This Row],[_Row]])="Yes")</f>
        <v>0</v>
      </c>
    </row>
    <row r="21" customFormat="false" ht="15" hidden="false" customHeight="false" outlineLevel="0" collapsed="false">
      <c r="A21" s="117" t="str">
        <f aca="false">IF(IFERROR(INDEX(tsk_Name,GanttView[[#This Row],[_Row]])="",TRUE()),"",INDEX(tsk_ID,GanttView[[#This Row],[_Row]]))</f>
        <v/>
      </c>
      <c r="B21" s="117" t="str">
        <f aca="false">IF(IFERROR(INDEX(tsk_Name,GanttView[[#This Row],[_Row]])="",TRUE()),"",INDEX(tsk_WBS,GanttView[[#This Row],[_Row]]))</f>
        <v/>
      </c>
      <c r="C21" s="118" t="str">
        <f aca="false">IF(IFERROR(INDEX(tsk_Name,GanttView[[#This Row],[_Row]])="",TRUE()),"",REPT("    ",INDEX(tsk_Level,GanttView[[#This Row],[_Row]])-1)&amp;INDEX(tsk_Name,GanttView[[#This Row],[_Row]]))</f>
        <v/>
      </c>
      <c r="D21" s="117" t="str">
        <f aca="false">IF(IFERROR(INDEX(tsk_Name,GanttView[[#This Row],[_Row]])="",TRUE()),"",IF(INDEX(tsk_IsSummary,GanttView[[#This Row],[_Row]]),NETWORKDAYS.INTL(INDEX(tsk_FcStart,GanttView[[#This Row],[_Row]]),INDEX(tsk_FcFinish,GanttView[[#This Row],[_Row]]),WorkWeek,Holidays),N(INDEX(tsk_Duration,GanttView[[#This Row],[_Row]]))))</f>
        <v/>
      </c>
      <c r="E21" s="119" t="str">
        <f aca="false">IF(IFERROR(INDEX(tsk_Name,GanttView[[#This Row],[_Row]])="",TRUE()),"",INDEX(tsk_PlanStart,GanttView[[#This Row],[_Row]]))</f>
        <v/>
      </c>
      <c r="F21" s="119" t="str">
        <f aca="false">IF(IFERROR(INDEX(tsk_Name,GanttView[[#This Row],[_Row]])="",TRUE()),"",INDEX(tsk_PlanFinish,GanttView[[#This Row],[_Row]]))</f>
        <v/>
      </c>
      <c r="G21" s="119" t="str">
        <f aca="false">IF(IFERROR(INDEX(tsk_Name,GanttView[[#This Row],[_Row]])="",TRUE()),"",INDEX(tsk_FcStart,GanttView[[#This Row],[_Row]]))</f>
        <v/>
      </c>
      <c r="H21" s="119" t="str">
        <f aca="false">IF(IFERROR(INDEX(tsk_Name,GanttView[[#This Row],[_Row]])="",TRUE()),"",INDEX(tsk_FcFinish,GanttView[[#This Row],[_Row]]))</f>
        <v/>
      </c>
      <c r="I21" s="120" t="str">
        <f aca="false">IF(IFERROR(INDEX(tsk_Name,GanttView[[#This Row],[_Row]])="",TRUE()),"",INDEX(tsk_Progress,GanttView[[#This Row],[_Row]]))</f>
        <v/>
      </c>
      <c r="J21" s="118" t="str">
        <f aca="false">IF(IFERROR(INDEX(tsk_Name,GanttView[[#This Row],[_Row]])="",TRUE()),"",INDEX(tsk_ResourceNames,GanttView[[#This Row],[_Row]])&amp;"")</f>
        <v/>
      </c>
      <c r="K21" s="117" t="str">
        <f aca="false">IF(IFERROR(INDEX(tsk_Name,GanttView[[#This Row],[_Row]])="",TRUE()),"",INDEX(tsk_Status,GanttView[[#This Row],[_Row]]))</f>
        <v/>
      </c>
      <c r="L21" s="121" t="n">
        <f aca="false">ROW()-ROW(GanttView[[#Headers],[ID]])</f>
        <v>16</v>
      </c>
      <c r="M21" s="122" t="b">
        <f aca="false">IF(IFERROR(INDEX(tsk_Name,GanttView[[#This Row],[_Row]])="",TRUE()),FALSE(),INDEX(tsk_IsSummary,GanttView[[#This Row],[_Row]]))</f>
        <v>0</v>
      </c>
      <c r="N21" s="122" t="b">
        <f aca="false">IF(IFERROR(INDEX(tsk_Name,GanttView[[#This Row],[_Row]])="",TRUE()),FALSE(),AND(INDEX(tsk_IsLeaf,GanttView[[#This Row],[_Row]])=1,N(INDEX(tsk_Duration,GanttView[[#This Row],[_Row]]))=0))</f>
        <v>0</v>
      </c>
      <c r="O21" s="123" t="n">
        <f aca="false">IF(IFERROR(INDEX(tsk_Name,GanttView[[#This Row],[_Row]])="",TRUE()),0,IF(AND(INDEX(tsk_IsLeaf,GanttView[[#This Row],[_Row]])=1,NOT(GanttView[[#This Row],[_IsMilestone]]),N(GanttView[[#This Row],[%]])&gt;0),GanttView[[#This Row],[Forecast Start]],0))</f>
        <v>0</v>
      </c>
      <c r="P21" s="123" t="n">
        <f aca="false">IF(GanttView[[#This Row],[_DoneFrom]]=0,0,IF(GanttView[[#This Row],[%]]&gt;=1,GanttView[[#This Row],[Forecast Finish]],MAX(GanttView[[#This Row],[_DoneFrom]],GanttView[[#This Row],[Forecast Start]]+ROUND((GanttView[[#This Row],[Forecast Finish]]-GanttView[[#This Row],[Forecast Start]]+1)*GanttView[[#This Row],[%]],0)-1)))</f>
        <v>0</v>
      </c>
      <c r="Q21" s="123" t="n">
        <f aca="false">IF(IFERROR(INDEX(tsk_Name,GanttView[[#This Row],[_Row]])="",TRUE()),0,IF(OR(INDEX(tsk_IsLeaf,GanttView[[#This Row],[_Row]])&lt;&gt;1,GanttView[[#This Row],[_IsMilestone]],N(GanttView[[#This Row],[%]])&gt;=1),0,IF(GanttView[[#This Row],[_DoneTo]]&gt;0,GanttView[[#This Row],[_DoneTo]]+1,GanttView[[#This Row],[Forecast Start]])))</f>
        <v>0</v>
      </c>
      <c r="R21" s="123" t="n">
        <f aca="false">IF(GanttView[[#This Row],[_RemFrom]]=0,0,GanttView[[#This Row],[Forecast Finish]])</f>
        <v>0</v>
      </c>
      <c r="S21" s="122" t="b">
        <f aca="false">IF(IFERROR(INDEX(tsk_Name,GanttView[[#This Row],[_Row]])="",TRUE()),FALSE(),N(INDEX(tsk_Variance,GanttView[[#This Row],[_Row]]))&gt;0)</f>
        <v>0</v>
      </c>
      <c r="T21" s="123" t="n">
        <f aca="false">IF(IFERROR(INDEX(tsk_Name,GanttView[[#This Row],[_Row]])="",TRUE()),0,N(INDEX(tsk_Deadline,GanttView[[#This Row],[_Row]])))</f>
        <v>0</v>
      </c>
      <c r="U21" s="122" t="b">
        <f aca="false">IF(IFERROR(INDEX(tsk_Name,GanttView[[#This Row],[_Row]])="",TRUE()),FALSE(),INDEX(tsk_Critical,GanttView[[#This Row],[_Row]])="Yes")</f>
        <v>0</v>
      </c>
    </row>
    <row r="22" customFormat="false" ht="15" hidden="false" customHeight="false" outlineLevel="0" collapsed="false">
      <c r="A22" s="117" t="str">
        <f aca="false">IF(IFERROR(INDEX(tsk_Name,GanttView[[#This Row],[_Row]])="",TRUE()),"",INDEX(tsk_ID,GanttView[[#This Row],[_Row]]))</f>
        <v/>
      </c>
      <c r="B22" s="117" t="str">
        <f aca="false">IF(IFERROR(INDEX(tsk_Name,GanttView[[#This Row],[_Row]])="",TRUE()),"",INDEX(tsk_WBS,GanttView[[#This Row],[_Row]]))</f>
        <v/>
      </c>
      <c r="C22" s="118" t="str">
        <f aca="false">IF(IFERROR(INDEX(tsk_Name,GanttView[[#This Row],[_Row]])="",TRUE()),"",REPT("    ",INDEX(tsk_Level,GanttView[[#This Row],[_Row]])-1)&amp;INDEX(tsk_Name,GanttView[[#This Row],[_Row]]))</f>
        <v/>
      </c>
      <c r="D22" s="117" t="str">
        <f aca="false">IF(IFERROR(INDEX(tsk_Name,GanttView[[#This Row],[_Row]])="",TRUE()),"",IF(INDEX(tsk_IsSummary,GanttView[[#This Row],[_Row]]),NETWORKDAYS.INTL(INDEX(tsk_FcStart,GanttView[[#This Row],[_Row]]),INDEX(tsk_FcFinish,GanttView[[#This Row],[_Row]]),WorkWeek,Holidays),N(INDEX(tsk_Duration,GanttView[[#This Row],[_Row]]))))</f>
        <v/>
      </c>
      <c r="E22" s="119" t="str">
        <f aca="false">IF(IFERROR(INDEX(tsk_Name,GanttView[[#This Row],[_Row]])="",TRUE()),"",INDEX(tsk_PlanStart,GanttView[[#This Row],[_Row]]))</f>
        <v/>
      </c>
      <c r="F22" s="119" t="str">
        <f aca="false">IF(IFERROR(INDEX(tsk_Name,GanttView[[#This Row],[_Row]])="",TRUE()),"",INDEX(tsk_PlanFinish,GanttView[[#This Row],[_Row]]))</f>
        <v/>
      </c>
      <c r="G22" s="119" t="str">
        <f aca="false">IF(IFERROR(INDEX(tsk_Name,GanttView[[#This Row],[_Row]])="",TRUE()),"",INDEX(tsk_FcStart,GanttView[[#This Row],[_Row]]))</f>
        <v/>
      </c>
      <c r="H22" s="119" t="str">
        <f aca="false">IF(IFERROR(INDEX(tsk_Name,GanttView[[#This Row],[_Row]])="",TRUE()),"",INDEX(tsk_FcFinish,GanttView[[#This Row],[_Row]]))</f>
        <v/>
      </c>
      <c r="I22" s="120" t="str">
        <f aca="false">IF(IFERROR(INDEX(tsk_Name,GanttView[[#This Row],[_Row]])="",TRUE()),"",INDEX(tsk_Progress,GanttView[[#This Row],[_Row]]))</f>
        <v/>
      </c>
      <c r="J22" s="118" t="str">
        <f aca="false">IF(IFERROR(INDEX(tsk_Name,GanttView[[#This Row],[_Row]])="",TRUE()),"",INDEX(tsk_ResourceNames,GanttView[[#This Row],[_Row]])&amp;"")</f>
        <v/>
      </c>
      <c r="K22" s="117" t="str">
        <f aca="false">IF(IFERROR(INDEX(tsk_Name,GanttView[[#This Row],[_Row]])="",TRUE()),"",INDEX(tsk_Status,GanttView[[#This Row],[_Row]]))</f>
        <v/>
      </c>
      <c r="L22" s="121" t="n">
        <f aca="false">ROW()-ROW(GanttView[[#Headers],[ID]])</f>
        <v>17</v>
      </c>
      <c r="M22" s="122" t="b">
        <f aca="false">IF(IFERROR(INDEX(tsk_Name,GanttView[[#This Row],[_Row]])="",TRUE()),FALSE(),INDEX(tsk_IsSummary,GanttView[[#This Row],[_Row]]))</f>
        <v>0</v>
      </c>
      <c r="N22" s="122" t="b">
        <f aca="false">IF(IFERROR(INDEX(tsk_Name,GanttView[[#This Row],[_Row]])="",TRUE()),FALSE(),AND(INDEX(tsk_IsLeaf,GanttView[[#This Row],[_Row]])=1,N(INDEX(tsk_Duration,GanttView[[#This Row],[_Row]]))=0))</f>
        <v>0</v>
      </c>
      <c r="O22" s="123" t="n">
        <f aca="false">IF(IFERROR(INDEX(tsk_Name,GanttView[[#This Row],[_Row]])="",TRUE()),0,IF(AND(INDEX(tsk_IsLeaf,GanttView[[#This Row],[_Row]])=1,NOT(GanttView[[#This Row],[_IsMilestone]]),N(GanttView[[#This Row],[%]])&gt;0),GanttView[[#This Row],[Forecast Start]],0))</f>
        <v>0</v>
      </c>
      <c r="P22" s="123" t="n">
        <f aca="false">IF(GanttView[[#This Row],[_DoneFrom]]=0,0,IF(GanttView[[#This Row],[%]]&gt;=1,GanttView[[#This Row],[Forecast Finish]],MAX(GanttView[[#This Row],[_DoneFrom]],GanttView[[#This Row],[Forecast Start]]+ROUND((GanttView[[#This Row],[Forecast Finish]]-GanttView[[#This Row],[Forecast Start]]+1)*GanttView[[#This Row],[%]],0)-1)))</f>
        <v>0</v>
      </c>
      <c r="Q22" s="123" t="n">
        <f aca="false">IF(IFERROR(INDEX(tsk_Name,GanttView[[#This Row],[_Row]])="",TRUE()),0,IF(OR(INDEX(tsk_IsLeaf,GanttView[[#This Row],[_Row]])&lt;&gt;1,GanttView[[#This Row],[_IsMilestone]],N(GanttView[[#This Row],[%]])&gt;=1),0,IF(GanttView[[#This Row],[_DoneTo]]&gt;0,GanttView[[#This Row],[_DoneTo]]+1,GanttView[[#This Row],[Forecast Start]])))</f>
        <v>0</v>
      </c>
      <c r="R22" s="123" t="n">
        <f aca="false">IF(GanttView[[#This Row],[_RemFrom]]=0,0,GanttView[[#This Row],[Forecast Finish]])</f>
        <v>0</v>
      </c>
      <c r="S22" s="122" t="b">
        <f aca="false">IF(IFERROR(INDEX(tsk_Name,GanttView[[#This Row],[_Row]])="",TRUE()),FALSE(),N(INDEX(tsk_Variance,GanttView[[#This Row],[_Row]]))&gt;0)</f>
        <v>0</v>
      </c>
      <c r="T22" s="123" t="n">
        <f aca="false">IF(IFERROR(INDEX(tsk_Name,GanttView[[#This Row],[_Row]])="",TRUE()),0,N(INDEX(tsk_Deadline,GanttView[[#This Row],[_Row]])))</f>
        <v>0</v>
      </c>
      <c r="U22" s="122" t="b">
        <f aca="false">IF(IFERROR(INDEX(tsk_Name,GanttView[[#This Row],[_Row]])="",TRUE()),FALSE(),INDEX(tsk_Critical,GanttView[[#This Row],[_Row]])="Yes")</f>
        <v>0</v>
      </c>
    </row>
    <row r="23" customFormat="false" ht="15" hidden="false" customHeight="false" outlineLevel="0" collapsed="false">
      <c r="A23" s="117" t="str">
        <f aca="false">IF(IFERROR(INDEX(tsk_Name,GanttView[[#This Row],[_Row]])="",TRUE()),"",INDEX(tsk_ID,GanttView[[#This Row],[_Row]]))</f>
        <v/>
      </c>
      <c r="B23" s="117" t="str">
        <f aca="false">IF(IFERROR(INDEX(tsk_Name,GanttView[[#This Row],[_Row]])="",TRUE()),"",INDEX(tsk_WBS,GanttView[[#This Row],[_Row]]))</f>
        <v/>
      </c>
      <c r="C23" s="118" t="str">
        <f aca="false">IF(IFERROR(INDEX(tsk_Name,GanttView[[#This Row],[_Row]])="",TRUE()),"",REPT("    ",INDEX(tsk_Level,GanttView[[#This Row],[_Row]])-1)&amp;INDEX(tsk_Name,GanttView[[#This Row],[_Row]]))</f>
        <v/>
      </c>
      <c r="D23" s="117" t="str">
        <f aca="false">IF(IFERROR(INDEX(tsk_Name,GanttView[[#This Row],[_Row]])="",TRUE()),"",IF(INDEX(tsk_IsSummary,GanttView[[#This Row],[_Row]]),NETWORKDAYS.INTL(INDEX(tsk_FcStart,GanttView[[#This Row],[_Row]]),INDEX(tsk_FcFinish,GanttView[[#This Row],[_Row]]),WorkWeek,Holidays),N(INDEX(tsk_Duration,GanttView[[#This Row],[_Row]]))))</f>
        <v/>
      </c>
      <c r="E23" s="119" t="str">
        <f aca="false">IF(IFERROR(INDEX(tsk_Name,GanttView[[#This Row],[_Row]])="",TRUE()),"",INDEX(tsk_PlanStart,GanttView[[#This Row],[_Row]]))</f>
        <v/>
      </c>
      <c r="F23" s="119" t="str">
        <f aca="false">IF(IFERROR(INDEX(tsk_Name,GanttView[[#This Row],[_Row]])="",TRUE()),"",INDEX(tsk_PlanFinish,GanttView[[#This Row],[_Row]]))</f>
        <v/>
      </c>
      <c r="G23" s="119" t="str">
        <f aca="false">IF(IFERROR(INDEX(tsk_Name,GanttView[[#This Row],[_Row]])="",TRUE()),"",INDEX(tsk_FcStart,GanttView[[#This Row],[_Row]]))</f>
        <v/>
      </c>
      <c r="H23" s="119" t="str">
        <f aca="false">IF(IFERROR(INDEX(tsk_Name,GanttView[[#This Row],[_Row]])="",TRUE()),"",INDEX(tsk_FcFinish,GanttView[[#This Row],[_Row]]))</f>
        <v/>
      </c>
      <c r="I23" s="120" t="str">
        <f aca="false">IF(IFERROR(INDEX(tsk_Name,GanttView[[#This Row],[_Row]])="",TRUE()),"",INDEX(tsk_Progress,GanttView[[#This Row],[_Row]]))</f>
        <v/>
      </c>
      <c r="J23" s="118" t="str">
        <f aca="false">IF(IFERROR(INDEX(tsk_Name,GanttView[[#This Row],[_Row]])="",TRUE()),"",INDEX(tsk_ResourceNames,GanttView[[#This Row],[_Row]])&amp;"")</f>
        <v/>
      </c>
      <c r="K23" s="117" t="str">
        <f aca="false">IF(IFERROR(INDEX(tsk_Name,GanttView[[#This Row],[_Row]])="",TRUE()),"",INDEX(tsk_Status,GanttView[[#This Row],[_Row]]))</f>
        <v/>
      </c>
      <c r="L23" s="121" t="n">
        <f aca="false">ROW()-ROW(GanttView[[#Headers],[ID]])</f>
        <v>18</v>
      </c>
      <c r="M23" s="122" t="b">
        <f aca="false">IF(IFERROR(INDEX(tsk_Name,GanttView[[#This Row],[_Row]])="",TRUE()),FALSE(),INDEX(tsk_IsSummary,GanttView[[#This Row],[_Row]]))</f>
        <v>0</v>
      </c>
      <c r="N23" s="122" t="b">
        <f aca="false">IF(IFERROR(INDEX(tsk_Name,GanttView[[#This Row],[_Row]])="",TRUE()),FALSE(),AND(INDEX(tsk_IsLeaf,GanttView[[#This Row],[_Row]])=1,N(INDEX(tsk_Duration,GanttView[[#This Row],[_Row]]))=0))</f>
        <v>0</v>
      </c>
      <c r="O23" s="123" t="n">
        <f aca="false">IF(IFERROR(INDEX(tsk_Name,GanttView[[#This Row],[_Row]])="",TRUE()),0,IF(AND(INDEX(tsk_IsLeaf,GanttView[[#This Row],[_Row]])=1,NOT(GanttView[[#This Row],[_IsMilestone]]),N(GanttView[[#This Row],[%]])&gt;0),GanttView[[#This Row],[Forecast Start]],0))</f>
        <v>0</v>
      </c>
      <c r="P23" s="123" t="n">
        <f aca="false">IF(GanttView[[#This Row],[_DoneFrom]]=0,0,IF(GanttView[[#This Row],[%]]&gt;=1,GanttView[[#This Row],[Forecast Finish]],MAX(GanttView[[#This Row],[_DoneFrom]],GanttView[[#This Row],[Forecast Start]]+ROUND((GanttView[[#This Row],[Forecast Finish]]-GanttView[[#This Row],[Forecast Start]]+1)*GanttView[[#This Row],[%]],0)-1)))</f>
        <v>0</v>
      </c>
      <c r="Q23" s="123" t="n">
        <f aca="false">IF(IFERROR(INDEX(tsk_Name,GanttView[[#This Row],[_Row]])="",TRUE()),0,IF(OR(INDEX(tsk_IsLeaf,GanttView[[#This Row],[_Row]])&lt;&gt;1,GanttView[[#This Row],[_IsMilestone]],N(GanttView[[#This Row],[%]])&gt;=1),0,IF(GanttView[[#This Row],[_DoneTo]]&gt;0,GanttView[[#This Row],[_DoneTo]]+1,GanttView[[#This Row],[Forecast Start]])))</f>
        <v>0</v>
      </c>
      <c r="R23" s="123" t="n">
        <f aca="false">IF(GanttView[[#This Row],[_RemFrom]]=0,0,GanttView[[#This Row],[Forecast Finish]])</f>
        <v>0</v>
      </c>
      <c r="S23" s="122" t="b">
        <f aca="false">IF(IFERROR(INDEX(tsk_Name,GanttView[[#This Row],[_Row]])="",TRUE()),FALSE(),N(INDEX(tsk_Variance,GanttView[[#This Row],[_Row]]))&gt;0)</f>
        <v>0</v>
      </c>
      <c r="T23" s="123" t="n">
        <f aca="false">IF(IFERROR(INDEX(tsk_Name,GanttView[[#This Row],[_Row]])="",TRUE()),0,N(INDEX(tsk_Deadline,GanttView[[#This Row],[_Row]])))</f>
        <v>0</v>
      </c>
      <c r="U23" s="122" t="b">
        <f aca="false">IF(IFERROR(INDEX(tsk_Name,GanttView[[#This Row],[_Row]])="",TRUE()),FALSE(),INDEX(tsk_Critical,GanttView[[#This Row],[_Row]])="Yes")</f>
        <v>0</v>
      </c>
    </row>
    <row r="24" customFormat="false" ht="15" hidden="false" customHeight="false" outlineLevel="0" collapsed="false">
      <c r="A24" s="117" t="str">
        <f aca="false">IF(IFERROR(INDEX(tsk_Name,GanttView[[#This Row],[_Row]])="",TRUE()),"",INDEX(tsk_ID,GanttView[[#This Row],[_Row]]))</f>
        <v/>
      </c>
      <c r="B24" s="117" t="str">
        <f aca="false">IF(IFERROR(INDEX(tsk_Name,GanttView[[#This Row],[_Row]])="",TRUE()),"",INDEX(tsk_WBS,GanttView[[#This Row],[_Row]]))</f>
        <v/>
      </c>
      <c r="C24" s="118" t="str">
        <f aca="false">IF(IFERROR(INDEX(tsk_Name,GanttView[[#This Row],[_Row]])="",TRUE()),"",REPT("    ",INDEX(tsk_Level,GanttView[[#This Row],[_Row]])-1)&amp;INDEX(tsk_Name,GanttView[[#This Row],[_Row]]))</f>
        <v/>
      </c>
      <c r="D24" s="117" t="str">
        <f aca="false">IF(IFERROR(INDEX(tsk_Name,GanttView[[#This Row],[_Row]])="",TRUE()),"",IF(INDEX(tsk_IsSummary,GanttView[[#This Row],[_Row]]),NETWORKDAYS.INTL(INDEX(tsk_FcStart,GanttView[[#This Row],[_Row]]),INDEX(tsk_FcFinish,GanttView[[#This Row],[_Row]]),WorkWeek,Holidays),N(INDEX(tsk_Duration,GanttView[[#This Row],[_Row]]))))</f>
        <v/>
      </c>
      <c r="E24" s="119" t="str">
        <f aca="false">IF(IFERROR(INDEX(tsk_Name,GanttView[[#This Row],[_Row]])="",TRUE()),"",INDEX(tsk_PlanStart,GanttView[[#This Row],[_Row]]))</f>
        <v/>
      </c>
      <c r="F24" s="119" t="str">
        <f aca="false">IF(IFERROR(INDEX(tsk_Name,GanttView[[#This Row],[_Row]])="",TRUE()),"",INDEX(tsk_PlanFinish,GanttView[[#This Row],[_Row]]))</f>
        <v/>
      </c>
      <c r="G24" s="119" t="str">
        <f aca="false">IF(IFERROR(INDEX(tsk_Name,GanttView[[#This Row],[_Row]])="",TRUE()),"",INDEX(tsk_FcStart,GanttView[[#This Row],[_Row]]))</f>
        <v/>
      </c>
      <c r="H24" s="119" t="str">
        <f aca="false">IF(IFERROR(INDEX(tsk_Name,GanttView[[#This Row],[_Row]])="",TRUE()),"",INDEX(tsk_FcFinish,GanttView[[#This Row],[_Row]]))</f>
        <v/>
      </c>
      <c r="I24" s="120" t="str">
        <f aca="false">IF(IFERROR(INDEX(tsk_Name,GanttView[[#This Row],[_Row]])="",TRUE()),"",INDEX(tsk_Progress,GanttView[[#This Row],[_Row]]))</f>
        <v/>
      </c>
      <c r="J24" s="118" t="str">
        <f aca="false">IF(IFERROR(INDEX(tsk_Name,GanttView[[#This Row],[_Row]])="",TRUE()),"",INDEX(tsk_ResourceNames,GanttView[[#This Row],[_Row]])&amp;"")</f>
        <v/>
      </c>
      <c r="K24" s="117" t="str">
        <f aca="false">IF(IFERROR(INDEX(tsk_Name,GanttView[[#This Row],[_Row]])="",TRUE()),"",INDEX(tsk_Status,GanttView[[#This Row],[_Row]]))</f>
        <v/>
      </c>
      <c r="L24" s="121" t="n">
        <f aca="false">ROW()-ROW(GanttView[[#Headers],[ID]])</f>
        <v>19</v>
      </c>
      <c r="M24" s="122" t="b">
        <f aca="false">IF(IFERROR(INDEX(tsk_Name,GanttView[[#This Row],[_Row]])="",TRUE()),FALSE(),INDEX(tsk_IsSummary,GanttView[[#This Row],[_Row]]))</f>
        <v>0</v>
      </c>
      <c r="N24" s="122" t="b">
        <f aca="false">IF(IFERROR(INDEX(tsk_Name,GanttView[[#This Row],[_Row]])="",TRUE()),FALSE(),AND(INDEX(tsk_IsLeaf,GanttView[[#This Row],[_Row]])=1,N(INDEX(tsk_Duration,GanttView[[#This Row],[_Row]]))=0))</f>
        <v>0</v>
      </c>
      <c r="O24" s="123" t="n">
        <f aca="false">IF(IFERROR(INDEX(tsk_Name,GanttView[[#This Row],[_Row]])="",TRUE()),0,IF(AND(INDEX(tsk_IsLeaf,GanttView[[#This Row],[_Row]])=1,NOT(GanttView[[#This Row],[_IsMilestone]]),N(GanttView[[#This Row],[%]])&gt;0),GanttView[[#This Row],[Forecast Start]],0))</f>
        <v>0</v>
      </c>
      <c r="P24" s="123" t="n">
        <f aca="false">IF(GanttView[[#This Row],[_DoneFrom]]=0,0,IF(GanttView[[#This Row],[%]]&gt;=1,GanttView[[#This Row],[Forecast Finish]],MAX(GanttView[[#This Row],[_DoneFrom]],GanttView[[#This Row],[Forecast Start]]+ROUND((GanttView[[#This Row],[Forecast Finish]]-GanttView[[#This Row],[Forecast Start]]+1)*GanttView[[#This Row],[%]],0)-1)))</f>
        <v>0</v>
      </c>
      <c r="Q24" s="123" t="n">
        <f aca="false">IF(IFERROR(INDEX(tsk_Name,GanttView[[#This Row],[_Row]])="",TRUE()),0,IF(OR(INDEX(tsk_IsLeaf,GanttView[[#This Row],[_Row]])&lt;&gt;1,GanttView[[#This Row],[_IsMilestone]],N(GanttView[[#This Row],[%]])&gt;=1),0,IF(GanttView[[#This Row],[_DoneTo]]&gt;0,GanttView[[#This Row],[_DoneTo]]+1,GanttView[[#This Row],[Forecast Start]])))</f>
        <v>0</v>
      </c>
      <c r="R24" s="123" t="n">
        <f aca="false">IF(GanttView[[#This Row],[_RemFrom]]=0,0,GanttView[[#This Row],[Forecast Finish]])</f>
        <v>0</v>
      </c>
      <c r="S24" s="122" t="b">
        <f aca="false">IF(IFERROR(INDEX(tsk_Name,GanttView[[#This Row],[_Row]])="",TRUE()),FALSE(),N(INDEX(tsk_Variance,GanttView[[#This Row],[_Row]]))&gt;0)</f>
        <v>0</v>
      </c>
      <c r="T24" s="123" t="n">
        <f aca="false">IF(IFERROR(INDEX(tsk_Name,GanttView[[#This Row],[_Row]])="",TRUE()),0,N(INDEX(tsk_Deadline,GanttView[[#This Row],[_Row]])))</f>
        <v>0</v>
      </c>
      <c r="U24" s="122" t="b">
        <f aca="false">IF(IFERROR(INDEX(tsk_Name,GanttView[[#This Row],[_Row]])="",TRUE()),FALSE(),INDEX(tsk_Critical,GanttView[[#This Row],[_Row]])="Yes")</f>
        <v>0</v>
      </c>
    </row>
    <row r="25" customFormat="false" ht="15" hidden="false" customHeight="false" outlineLevel="0" collapsed="false">
      <c r="A25" s="117" t="str">
        <f aca="false">IF(IFERROR(INDEX(tsk_Name,GanttView[[#This Row],[_Row]])="",TRUE()),"",INDEX(tsk_ID,GanttView[[#This Row],[_Row]]))</f>
        <v/>
      </c>
      <c r="B25" s="117" t="str">
        <f aca="false">IF(IFERROR(INDEX(tsk_Name,GanttView[[#This Row],[_Row]])="",TRUE()),"",INDEX(tsk_WBS,GanttView[[#This Row],[_Row]]))</f>
        <v/>
      </c>
      <c r="C25" s="118" t="str">
        <f aca="false">IF(IFERROR(INDEX(tsk_Name,GanttView[[#This Row],[_Row]])="",TRUE()),"",REPT("    ",INDEX(tsk_Level,GanttView[[#This Row],[_Row]])-1)&amp;INDEX(tsk_Name,GanttView[[#This Row],[_Row]]))</f>
        <v/>
      </c>
      <c r="D25" s="117" t="str">
        <f aca="false">IF(IFERROR(INDEX(tsk_Name,GanttView[[#This Row],[_Row]])="",TRUE()),"",IF(INDEX(tsk_IsSummary,GanttView[[#This Row],[_Row]]),NETWORKDAYS.INTL(INDEX(tsk_FcStart,GanttView[[#This Row],[_Row]]),INDEX(tsk_FcFinish,GanttView[[#This Row],[_Row]]),WorkWeek,Holidays),N(INDEX(tsk_Duration,GanttView[[#This Row],[_Row]]))))</f>
        <v/>
      </c>
      <c r="E25" s="119" t="str">
        <f aca="false">IF(IFERROR(INDEX(tsk_Name,GanttView[[#This Row],[_Row]])="",TRUE()),"",INDEX(tsk_PlanStart,GanttView[[#This Row],[_Row]]))</f>
        <v/>
      </c>
      <c r="F25" s="119" t="str">
        <f aca="false">IF(IFERROR(INDEX(tsk_Name,GanttView[[#This Row],[_Row]])="",TRUE()),"",INDEX(tsk_PlanFinish,GanttView[[#This Row],[_Row]]))</f>
        <v/>
      </c>
      <c r="G25" s="119" t="str">
        <f aca="false">IF(IFERROR(INDEX(tsk_Name,GanttView[[#This Row],[_Row]])="",TRUE()),"",INDEX(tsk_FcStart,GanttView[[#This Row],[_Row]]))</f>
        <v/>
      </c>
      <c r="H25" s="119" t="str">
        <f aca="false">IF(IFERROR(INDEX(tsk_Name,GanttView[[#This Row],[_Row]])="",TRUE()),"",INDEX(tsk_FcFinish,GanttView[[#This Row],[_Row]]))</f>
        <v/>
      </c>
      <c r="I25" s="120" t="str">
        <f aca="false">IF(IFERROR(INDEX(tsk_Name,GanttView[[#This Row],[_Row]])="",TRUE()),"",INDEX(tsk_Progress,GanttView[[#This Row],[_Row]]))</f>
        <v/>
      </c>
      <c r="J25" s="118" t="str">
        <f aca="false">IF(IFERROR(INDEX(tsk_Name,GanttView[[#This Row],[_Row]])="",TRUE()),"",INDEX(tsk_ResourceNames,GanttView[[#This Row],[_Row]])&amp;"")</f>
        <v/>
      </c>
      <c r="K25" s="117" t="str">
        <f aca="false">IF(IFERROR(INDEX(tsk_Name,GanttView[[#This Row],[_Row]])="",TRUE()),"",INDEX(tsk_Status,GanttView[[#This Row],[_Row]]))</f>
        <v/>
      </c>
      <c r="L25" s="121" t="n">
        <f aca="false">ROW()-ROW(GanttView[[#Headers],[ID]])</f>
        <v>20</v>
      </c>
      <c r="M25" s="122" t="b">
        <f aca="false">IF(IFERROR(INDEX(tsk_Name,GanttView[[#This Row],[_Row]])="",TRUE()),FALSE(),INDEX(tsk_IsSummary,GanttView[[#This Row],[_Row]]))</f>
        <v>0</v>
      </c>
      <c r="N25" s="122" t="b">
        <f aca="false">IF(IFERROR(INDEX(tsk_Name,GanttView[[#This Row],[_Row]])="",TRUE()),FALSE(),AND(INDEX(tsk_IsLeaf,GanttView[[#This Row],[_Row]])=1,N(INDEX(tsk_Duration,GanttView[[#This Row],[_Row]]))=0))</f>
        <v>0</v>
      </c>
      <c r="O25" s="123" t="n">
        <f aca="false">IF(IFERROR(INDEX(tsk_Name,GanttView[[#This Row],[_Row]])="",TRUE()),0,IF(AND(INDEX(tsk_IsLeaf,GanttView[[#This Row],[_Row]])=1,NOT(GanttView[[#This Row],[_IsMilestone]]),N(GanttView[[#This Row],[%]])&gt;0),GanttView[[#This Row],[Forecast Start]],0))</f>
        <v>0</v>
      </c>
      <c r="P25" s="123" t="n">
        <f aca="false">IF(GanttView[[#This Row],[_DoneFrom]]=0,0,IF(GanttView[[#This Row],[%]]&gt;=1,GanttView[[#This Row],[Forecast Finish]],MAX(GanttView[[#This Row],[_DoneFrom]],GanttView[[#This Row],[Forecast Start]]+ROUND((GanttView[[#This Row],[Forecast Finish]]-GanttView[[#This Row],[Forecast Start]]+1)*GanttView[[#This Row],[%]],0)-1)))</f>
        <v>0</v>
      </c>
      <c r="Q25" s="123" t="n">
        <f aca="false">IF(IFERROR(INDEX(tsk_Name,GanttView[[#This Row],[_Row]])="",TRUE()),0,IF(OR(INDEX(tsk_IsLeaf,GanttView[[#This Row],[_Row]])&lt;&gt;1,GanttView[[#This Row],[_IsMilestone]],N(GanttView[[#This Row],[%]])&gt;=1),0,IF(GanttView[[#This Row],[_DoneTo]]&gt;0,GanttView[[#This Row],[_DoneTo]]+1,GanttView[[#This Row],[Forecast Start]])))</f>
        <v>0</v>
      </c>
      <c r="R25" s="123" t="n">
        <f aca="false">IF(GanttView[[#This Row],[_RemFrom]]=0,0,GanttView[[#This Row],[Forecast Finish]])</f>
        <v>0</v>
      </c>
      <c r="S25" s="122" t="b">
        <f aca="false">IF(IFERROR(INDEX(tsk_Name,GanttView[[#This Row],[_Row]])="",TRUE()),FALSE(),N(INDEX(tsk_Variance,GanttView[[#This Row],[_Row]]))&gt;0)</f>
        <v>0</v>
      </c>
      <c r="T25" s="123" t="n">
        <f aca="false">IF(IFERROR(INDEX(tsk_Name,GanttView[[#This Row],[_Row]])="",TRUE()),0,N(INDEX(tsk_Deadline,GanttView[[#This Row],[_Row]])))</f>
        <v>0</v>
      </c>
      <c r="U25" s="122" t="b">
        <f aca="false">IF(IFERROR(INDEX(tsk_Name,GanttView[[#This Row],[_Row]])="",TRUE()),FALSE(),INDEX(tsk_Critical,GanttView[[#This Row],[_Row]])="Yes")</f>
        <v>0</v>
      </c>
    </row>
    <row r="26" customFormat="false" ht="15" hidden="false" customHeight="false" outlineLevel="0" collapsed="false">
      <c r="A26" s="117" t="str">
        <f aca="false">IF(IFERROR(INDEX(tsk_Name,GanttView[[#This Row],[_Row]])="",TRUE()),"",INDEX(tsk_ID,GanttView[[#This Row],[_Row]]))</f>
        <v/>
      </c>
      <c r="B26" s="117" t="str">
        <f aca="false">IF(IFERROR(INDEX(tsk_Name,GanttView[[#This Row],[_Row]])="",TRUE()),"",INDEX(tsk_WBS,GanttView[[#This Row],[_Row]]))</f>
        <v/>
      </c>
      <c r="C26" s="118" t="str">
        <f aca="false">IF(IFERROR(INDEX(tsk_Name,GanttView[[#This Row],[_Row]])="",TRUE()),"",REPT("    ",INDEX(tsk_Level,GanttView[[#This Row],[_Row]])-1)&amp;INDEX(tsk_Name,GanttView[[#This Row],[_Row]]))</f>
        <v/>
      </c>
      <c r="D26" s="117" t="str">
        <f aca="false">IF(IFERROR(INDEX(tsk_Name,GanttView[[#This Row],[_Row]])="",TRUE()),"",IF(INDEX(tsk_IsSummary,GanttView[[#This Row],[_Row]]),NETWORKDAYS.INTL(INDEX(tsk_FcStart,GanttView[[#This Row],[_Row]]),INDEX(tsk_FcFinish,GanttView[[#This Row],[_Row]]),WorkWeek,Holidays),N(INDEX(tsk_Duration,GanttView[[#This Row],[_Row]]))))</f>
        <v/>
      </c>
      <c r="E26" s="119" t="str">
        <f aca="false">IF(IFERROR(INDEX(tsk_Name,GanttView[[#This Row],[_Row]])="",TRUE()),"",INDEX(tsk_PlanStart,GanttView[[#This Row],[_Row]]))</f>
        <v/>
      </c>
      <c r="F26" s="119" t="str">
        <f aca="false">IF(IFERROR(INDEX(tsk_Name,GanttView[[#This Row],[_Row]])="",TRUE()),"",INDEX(tsk_PlanFinish,GanttView[[#This Row],[_Row]]))</f>
        <v/>
      </c>
      <c r="G26" s="119" t="str">
        <f aca="false">IF(IFERROR(INDEX(tsk_Name,GanttView[[#This Row],[_Row]])="",TRUE()),"",INDEX(tsk_FcStart,GanttView[[#This Row],[_Row]]))</f>
        <v/>
      </c>
      <c r="H26" s="119" t="str">
        <f aca="false">IF(IFERROR(INDEX(tsk_Name,GanttView[[#This Row],[_Row]])="",TRUE()),"",INDEX(tsk_FcFinish,GanttView[[#This Row],[_Row]]))</f>
        <v/>
      </c>
      <c r="I26" s="120" t="str">
        <f aca="false">IF(IFERROR(INDEX(tsk_Name,GanttView[[#This Row],[_Row]])="",TRUE()),"",INDEX(tsk_Progress,GanttView[[#This Row],[_Row]]))</f>
        <v/>
      </c>
      <c r="J26" s="118" t="str">
        <f aca="false">IF(IFERROR(INDEX(tsk_Name,GanttView[[#This Row],[_Row]])="",TRUE()),"",INDEX(tsk_ResourceNames,GanttView[[#This Row],[_Row]])&amp;"")</f>
        <v/>
      </c>
      <c r="K26" s="117" t="str">
        <f aca="false">IF(IFERROR(INDEX(tsk_Name,GanttView[[#This Row],[_Row]])="",TRUE()),"",INDEX(tsk_Status,GanttView[[#This Row],[_Row]]))</f>
        <v/>
      </c>
      <c r="L26" s="121" t="n">
        <f aca="false">ROW()-ROW(GanttView[[#Headers],[ID]])</f>
        <v>21</v>
      </c>
      <c r="M26" s="122" t="b">
        <f aca="false">IF(IFERROR(INDEX(tsk_Name,GanttView[[#This Row],[_Row]])="",TRUE()),FALSE(),INDEX(tsk_IsSummary,GanttView[[#This Row],[_Row]]))</f>
        <v>0</v>
      </c>
      <c r="N26" s="122" t="b">
        <f aca="false">IF(IFERROR(INDEX(tsk_Name,GanttView[[#This Row],[_Row]])="",TRUE()),FALSE(),AND(INDEX(tsk_IsLeaf,GanttView[[#This Row],[_Row]])=1,N(INDEX(tsk_Duration,GanttView[[#This Row],[_Row]]))=0))</f>
        <v>0</v>
      </c>
      <c r="O26" s="123" t="n">
        <f aca="false">IF(IFERROR(INDEX(tsk_Name,GanttView[[#This Row],[_Row]])="",TRUE()),0,IF(AND(INDEX(tsk_IsLeaf,GanttView[[#This Row],[_Row]])=1,NOT(GanttView[[#This Row],[_IsMilestone]]),N(GanttView[[#This Row],[%]])&gt;0),GanttView[[#This Row],[Forecast Start]],0))</f>
        <v>0</v>
      </c>
      <c r="P26" s="123" t="n">
        <f aca="false">IF(GanttView[[#This Row],[_DoneFrom]]=0,0,IF(GanttView[[#This Row],[%]]&gt;=1,GanttView[[#This Row],[Forecast Finish]],MAX(GanttView[[#This Row],[_DoneFrom]],GanttView[[#This Row],[Forecast Start]]+ROUND((GanttView[[#This Row],[Forecast Finish]]-GanttView[[#This Row],[Forecast Start]]+1)*GanttView[[#This Row],[%]],0)-1)))</f>
        <v>0</v>
      </c>
      <c r="Q26" s="123" t="n">
        <f aca="false">IF(IFERROR(INDEX(tsk_Name,GanttView[[#This Row],[_Row]])="",TRUE()),0,IF(OR(INDEX(tsk_IsLeaf,GanttView[[#This Row],[_Row]])&lt;&gt;1,GanttView[[#This Row],[_IsMilestone]],N(GanttView[[#This Row],[%]])&gt;=1),0,IF(GanttView[[#This Row],[_DoneTo]]&gt;0,GanttView[[#This Row],[_DoneTo]]+1,GanttView[[#This Row],[Forecast Start]])))</f>
        <v>0</v>
      </c>
      <c r="R26" s="123" t="n">
        <f aca="false">IF(GanttView[[#This Row],[_RemFrom]]=0,0,GanttView[[#This Row],[Forecast Finish]])</f>
        <v>0</v>
      </c>
      <c r="S26" s="122" t="b">
        <f aca="false">IF(IFERROR(INDEX(tsk_Name,GanttView[[#This Row],[_Row]])="",TRUE()),FALSE(),N(INDEX(tsk_Variance,GanttView[[#This Row],[_Row]]))&gt;0)</f>
        <v>0</v>
      </c>
      <c r="T26" s="123" t="n">
        <f aca="false">IF(IFERROR(INDEX(tsk_Name,GanttView[[#This Row],[_Row]])="",TRUE()),0,N(INDEX(tsk_Deadline,GanttView[[#This Row],[_Row]])))</f>
        <v>0</v>
      </c>
      <c r="U26" s="122" t="b">
        <f aca="false">IF(IFERROR(INDEX(tsk_Name,GanttView[[#This Row],[_Row]])="",TRUE()),FALSE(),INDEX(tsk_Critical,GanttView[[#This Row],[_Row]])="Yes")</f>
        <v>0</v>
      </c>
    </row>
    <row r="27" customFormat="false" ht="15" hidden="false" customHeight="false" outlineLevel="0" collapsed="false">
      <c r="A27" s="117" t="str">
        <f aca="false">IF(IFERROR(INDEX(tsk_Name,GanttView[[#This Row],[_Row]])="",TRUE()),"",INDEX(tsk_ID,GanttView[[#This Row],[_Row]]))</f>
        <v/>
      </c>
      <c r="B27" s="117" t="str">
        <f aca="false">IF(IFERROR(INDEX(tsk_Name,GanttView[[#This Row],[_Row]])="",TRUE()),"",INDEX(tsk_WBS,GanttView[[#This Row],[_Row]]))</f>
        <v/>
      </c>
      <c r="C27" s="118" t="str">
        <f aca="false">IF(IFERROR(INDEX(tsk_Name,GanttView[[#This Row],[_Row]])="",TRUE()),"",REPT("    ",INDEX(tsk_Level,GanttView[[#This Row],[_Row]])-1)&amp;INDEX(tsk_Name,GanttView[[#This Row],[_Row]]))</f>
        <v/>
      </c>
      <c r="D27" s="117" t="str">
        <f aca="false">IF(IFERROR(INDEX(tsk_Name,GanttView[[#This Row],[_Row]])="",TRUE()),"",IF(INDEX(tsk_IsSummary,GanttView[[#This Row],[_Row]]),NETWORKDAYS.INTL(INDEX(tsk_FcStart,GanttView[[#This Row],[_Row]]),INDEX(tsk_FcFinish,GanttView[[#This Row],[_Row]]),WorkWeek,Holidays),N(INDEX(tsk_Duration,GanttView[[#This Row],[_Row]]))))</f>
        <v/>
      </c>
      <c r="E27" s="119" t="str">
        <f aca="false">IF(IFERROR(INDEX(tsk_Name,GanttView[[#This Row],[_Row]])="",TRUE()),"",INDEX(tsk_PlanStart,GanttView[[#This Row],[_Row]]))</f>
        <v/>
      </c>
      <c r="F27" s="119" t="str">
        <f aca="false">IF(IFERROR(INDEX(tsk_Name,GanttView[[#This Row],[_Row]])="",TRUE()),"",INDEX(tsk_PlanFinish,GanttView[[#This Row],[_Row]]))</f>
        <v/>
      </c>
      <c r="G27" s="119" t="str">
        <f aca="false">IF(IFERROR(INDEX(tsk_Name,GanttView[[#This Row],[_Row]])="",TRUE()),"",INDEX(tsk_FcStart,GanttView[[#This Row],[_Row]]))</f>
        <v/>
      </c>
      <c r="H27" s="119" t="str">
        <f aca="false">IF(IFERROR(INDEX(tsk_Name,GanttView[[#This Row],[_Row]])="",TRUE()),"",INDEX(tsk_FcFinish,GanttView[[#This Row],[_Row]]))</f>
        <v/>
      </c>
      <c r="I27" s="120" t="str">
        <f aca="false">IF(IFERROR(INDEX(tsk_Name,GanttView[[#This Row],[_Row]])="",TRUE()),"",INDEX(tsk_Progress,GanttView[[#This Row],[_Row]]))</f>
        <v/>
      </c>
      <c r="J27" s="118" t="str">
        <f aca="false">IF(IFERROR(INDEX(tsk_Name,GanttView[[#This Row],[_Row]])="",TRUE()),"",INDEX(tsk_ResourceNames,GanttView[[#This Row],[_Row]])&amp;"")</f>
        <v/>
      </c>
      <c r="K27" s="117" t="str">
        <f aca="false">IF(IFERROR(INDEX(tsk_Name,GanttView[[#This Row],[_Row]])="",TRUE()),"",INDEX(tsk_Status,GanttView[[#This Row],[_Row]]))</f>
        <v/>
      </c>
      <c r="L27" s="121" t="n">
        <f aca="false">ROW()-ROW(GanttView[[#Headers],[ID]])</f>
        <v>22</v>
      </c>
      <c r="M27" s="122" t="b">
        <f aca="false">IF(IFERROR(INDEX(tsk_Name,GanttView[[#This Row],[_Row]])="",TRUE()),FALSE(),INDEX(tsk_IsSummary,GanttView[[#This Row],[_Row]]))</f>
        <v>0</v>
      </c>
      <c r="N27" s="122" t="b">
        <f aca="false">IF(IFERROR(INDEX(tsk_Name,GanttView[[#This Row],[_Row]])="",TRUE()),FALSE(),AND(INDEX(tsk_IsLeaf,GanttView[[#This Row],[_Row]])=1,N(INDEX(tsk_Duration,GanttView[[#This Row],[_Row]]))=0))</f>
        <v>0</v>
      </c>
      <c r="O27" s="123" t="n">
        <f aca="false">IF(IFERROR(INDEX(tsk_Name,GanttView[[#This Row],[_Row]])="",TRUE()),0,IF(AND(INDEX(tsk_IsLeaf,GanttView[[#This Row],[_Row]])=1,NOT(GanttView[[#This Row],[_IsMilestone]]),N(GanttView[[#This Row],[%]])&gt;0),GanttView[[#This Row],[Forecast Start]],0))</f>
        <v>0</v>
      </c>
      <c r="P27" s="123" t="n">
        <f aca="false">IF(GanttView[[#This Row],[_DoneFrom]]=0,0,IF(GanttView[[#This Row],[%]]&gt;=1,GanttView[[#This Row],[Forecast Finish]],MAX(GanttView[[#This Row],[_DoneFrom]],GanttView[[#This Row],[Forecast Start]]+ROUND((GanttView[[#This Row],[Forecast Finish]]-GanttView[[#This Row],[Forecast Start]]+1)*GanttView[[#This Row],[%]],0)-1)))</f>
        <v>0</v>
      </c>
      <c r="Q27" s="123" t="n">
        <f aca="false">IF(IFERROR(INDEX(tsk_Name,GanttView[[#This Row],[_Row]])="",TRUE()),0,IF(OR(INDEX(tsk_IsLeaf,GanttView[[#This Row],[_Row]])&lt;&gt;1,GanttView[[#This Row],[_IsMilestone]],N(GanttView[[#This Row],[%]])&gt;=1),0,IF(GanttView[[#This Row],[_DoneTo]]&gt;0,GanttView[[#This Row],[_DoneTo]]+1,GanttView[[#This Row],[Forecast Start]])))</f>
        <v>0</v>
      </c>
      <c r="R27" s="123" t="n">
        <f aca="false">IF(GanttView[[#This Row],[_RemFrom]]=0,0,GanttView[[#This Row],[Forecast Finish]])</f>
        <v>0</v>
      </c>
      <c r="S27" s="122" t="b">
        <f aca="false">IF(IFERROR(INDEX(tsk_Name,GanttView[[#This Row],[_Row]])="",TRUE()),FALSE(),N(INDEX(tsk_Variance,GanttView[[#This Row],[_Row]]))&gt;0)</f>
        <v>0</v>
      </c>
      <c r="T27" s="123" t="n">
        <f aca="false">IF(IFERROR(INDEX(tsk_Name,GanttView[[#This Row],[_Row]])="",TRUE()),0,N(INDEX(tsk_Deadline,GanttView[[#This Row],[_Row]])))</f>
        <v>0</v>
      </c>
      <c r="U27" s="122" t="b">
        <f aca="false">IF(IFERROR(INDEX(tsk_Name,GanttView[[#This Row],[_Row]])="",TRUE()),FALSE(),INDEX(tsk_Critical,GanttView[[#This Row],[_Row]])="Yes")</f>
        <v>0</v>
      </c>
    </row>
    <row r="28" customFormat="false" ht="15" hidden="false" customHeight="false" outlineLevel="0" collapsed="false">
      <c r="A28" s="117" t="str">
        <f aca="false">IF(IFERROR(INDEX(tsk_Name,GanttView[[#This Row],[_Row]])="",TRUE()),"",INDEX(tsk_ID,GanttView[[#This Row],[_Row]]))</f>
        <v/>
      </c>
      <c r="B28" s="117" t="str">
        <f aca="false">IF(IFERROR(INDEX(tsk_Name,GanttView[[#This Row],[_Row]])="",TRUE()),"",INDEX(tsk_WBS,GanttView[[#This Row],[_Row]]))</f>
        <v/>
      </c>
      <c r="C28" s="118" t="str">
        <f aca="false">IF(IFERROR(INDEX(tsk_Name,GanttView[[#This Row],[_Row]])="",TRUE()),"",REPT("    ",INDEX(tsk_Level,GanttView[[#This Row],[_Row]])-1)&amp;INDEX(tsk_Name,GanttView[[#This Row],[_Row]]))</f>
        <v/>
      </c>
      <c r="D28" s="117" t="str">
        <f aca="false">IF(IFERROR(INDEX(tsk_Name,GanttView[[#This Row],[_Row]])="",TRUE()),"",IF(INDEX(tsk_IsSummary,GanttView[[#This Row],[_Row]]),NETWORKDAYS.INTL(INDEX(tsk_FcStart,GanttView[[#This Row],[_Row]]),INDEX(tsk_FcFinish,GanttView[[#This Row],[_Row]]),WorkWeek,Holidays),N(INDEX(tsk_Duration,GanttView[[#This Row],[_Row]]))))</f>
        <v/>
      </c>
      <c r="E28" s="119" t="str">
        <f aca="false">IF(IFERROR(INDEX(tsk_Name,GanttView[[#This Row],[_Row]])="",TRUE()),"",INDEX(tsk_PlanStart,GanttView[[#This Row],[_Row]]))</f>
        <v/>
      </c>
      <c r="F28" s="119" t="str">
        <f aca="false">IF(IFERROR(INDEX(tsk_Name,GanttView[[#This Row],[_Row]])="",TRUE()),"",INDEX(tsk_PlanFinish,GanttView[[#This Row],[_Row]]))</f>
        <v/>
      </c>
      <c r="G28" s="119" t="str">
        <f aca="false">IF(IFERROR(INDEX(tsk_Name,GanttView[[#This Row],[_Row]])="",TRUE()),"",INDEX(tsk_FcStart,GanttView[[#This Row],[_Row]]))</f>
        <v/>
      </c>
      <c r="H28" s="119" t="str">
        <f aca="false">IF(IFERROR(INDEX(tsk_Name,GanttView[[#This Row],[_Row]])="",TRUE()),"",INDEX(tsk_FcFinish,GanttView[[#This Row],[_Row]]))</f>
        <v/>
      </c>
      <c r="I28" s="120" t="str">
        <f aca="false">IF(IFERROR(INDEX(tsk_Name,GanttView[[#This Row],[_Row]])="",TRUE()),"",INDEX(tsk_Progress,GanttView[[#This Row],[_Row]]))</f>
        <v/>
      </c>
      <c r="J28" s="118" t="str">
        <f aca="false">IF(IFERROR(INDEX(tsk_Name,GanttView[[#This Row],[_Row]])="",TRUE()),"",INDEX(tsk_ResourceNames,GanttView[[#This Row],[_Row]])&amp;"")</f>
        <v/>
      </c>
      <c r="K28" s="117" t="str">
        <f aca="false">IF(IFERROR(INDEX(tsk_Name,GanttView[[#This Row],[_Row]])="",TRUE()),"",INDEX(tsk_Status,GanttView[[#This Row],[_Row]]))</f>
        <v/>
      </c>
      <c r="L28" s="121" t="n">
        <f aca="false">ROW()-ROW(GanttView[[#Headers],[ID]])</f>
        <v>23</v>
      </c>
      <c r="M28" s="122" t="b">
        <f aca="false">IF(IFERROR(INDEX(tsk_Name,GanttView[[#This Row],[_Row]])="",TRUE()),FALSE(),INDEX(tsk_IsSummary,GanttView[[#This Row],[_Row]]))</f>
        <v>0</v>
      </c>
      <c r="N28" s="122" t="b">
        <f aca="false">IF(IFERROR(INDEX(tsk_Name,GanttView[[#This Row],[_Row]])="",TRUE()),FALSE(),AND(INDEX(tsk_IsLeaf,GanttView[[#This Row],[_Row]])=1,N(INDEX(tsk_Duration,GanttView[[#This Row],[_Row]]))=0))</f>
        <v>0</v>
      </c>
      <c r="O28" s="123" t="n">
        <f aca="false">IF(IFERROR(INDEX(tsk_Name,GanttView[[#This Row],[_Row]])="",TRUE()),0,IF(AND(INDEX(tsk_IsLeaf,GanttView[[#This Row],[_Row]])=1,NOT(GanttView[[#This Row],[_IsMilestone]]),N(GanttView[[#This Row],[%]])&gt;0),GanttView[[#This Row],[Forecast Start]],0))</f>
        <v>0</v>
      </c>
      <c r="P28" s="123" t="n">
        <f aca="false">IF(GanttView[[#This Row],[_DoneFrom]]=0,0,IF(GanttView[[#This Row],[%]]&gt;=1,GanttView[[#This Row],[Forecast Finish]],MAX(GanttView[[#This Row],[_DoneFrom]],GanttView[[#This Row],[Forecast Start]]+ROUND((GanttView[[#This Row],[Forecast Finish]]-GanttView[[#This Row],[Forecast Start]]+1)*GanttView[[#This Row],[%]],0)-1)))</f>
        <v>0</v>
      </c>
      <c r="Q28" s="123" t="n">
        <f aca="false">IF(IFERROR(INDEX(tsk_Name,GanttView[[#This Row],[_Row]])="",TRUE()),0,IF(OR(INDEX(tsk_IsLeaf,GanttView[[#This Row],[_Row]])&lt;&gt;1,GanttView[[#This Row],[_IsMilestone]],N(GanttView[[#This Row],[%]])&gt;=1),0,IF(GanttView[[#This Row],[_DoneTo]]&gt;0,GanttView[[#This Row],[_DoneTo]]+1,GanttView[[#This Row],[Forecast Start]])))</f>
        <v>0</v>
      </c>
      <c r="R28" s="123" t="n">
        <f aca="false">IF(GanttView[[#This Row],[_RemFrom]]=0,0,GanttView[[#This Row],[Forecast Finish]])</f>
        <v>0</v>
      </c>
      <c r="S28" s="122" t="b">
        <f aca="false">IF(IFERROR(INDEX(tsk_Name,GanttView[[#This Row],[_Row]])="",TRUE()),FALSE(),N(INDEX(tsk_Variance,GanttView[[#This Row],[_Row]]))&gt;0)</f>
        <v>0</v>
      </c>
      <c r="T28" s="123" t="n">
        <f aca="false">IF(IFERROR(INDEX(tsk_Name,GanttView[[#This Row],[_Row]])="",TRUE()),0,N(INDEX(tsk_Deadline,GanttView[[#This Row],[_Row]])))</f>
        <v>0</v>
      </c>
      <c r="U28" s="122" t="b">
        <f aca="false">IF(IFERROR(INDEX(tsk_Name,GanttView[[#This Row],[_Row]])="",TRUE()),FALSE(),INDEX(tsk_Critical,GanttView[[#This Row],[_Row]])="Yes")</f>
        <v>0</v>
      </c>
    </row>
    <row r="29" customFormat="false" ht="15" hidden="false" customHeight="false" outlineLevel="0" collapsed="false">
      <c r="A29" s="117" t="str">
        <f aca="false">IF(IFERROR(INDEX(tsk_Name,GanttView[[#This Row],[_Row]])="",TRUE()),"",INDEX(tsk_ID,GanttView[[#This Row],[_Row]]))</f>
        <v/>
      </c>
      <c r="B29" s="117" t="str">
        <f aca="false">IF(IFERROR(INDEX(tsk_Name,GanttView[[#This Row],[_Row]])="",TRUE()),"",INDEX(tsk_WBS,GanttView[[#This Row],[_Row]]))</f>
        <v/>
      </c>
      <c r="C29" s="118" t="str">
        <f aca="false">IF(IFERROR(INDEX(tsk_Name,GanttView[[#This Row],[_Row]])="",TRUE()),"",REPT("    ",INDEX(tsk_Level,GanttView[[#This Row],[_Row]])-1)&amp;INDEX(tsk_Name,GanttView[[#This Row],[_Row]]))</f>
        <v/>
      </c>
      <c r="D29" s="117" t="str">
        <f aca="false">IF(IFERROR(INDEX(tsk_Name,GanttView[[#This Row],[_Row]])="",TRUE()),"",IF(INDEX(tsk_IsSummary,GanttView[[#This Row],[_Row]]),NETWORKDAYS.INTL(INDEX(tsk_FcStart,GanttView[[#This Row],[_Row]]),INDEX(tsk_FcFinish,GanttView[[#This Row],[_Row]]),WorkWeek,Holidays),N(INDEX(tsk_Duration,GanttView[[#This Row],[_Row]]))))</f>
        <v/>
      </c>
      <c r="E29" s="119" t="str">
        <f aca="false">IF(IFERROR(INDEX(tsk_Name,GanttView[[#This Row],[_Row]])="",TRUE()),"",INDEX(tsk_PlanStart,GanttView[[#This Row],[_Row]]))</f>
        <v/>
      </c>
      <c r="F29" s="119" t="str">
        <f aca="false">IF(IFERROR(INDEX(tsk_Name,GanttView[[#This Row],[_Row]])="",TRUE()),"",INDEX(tsk_PlanFinish,GanttView[[#This Row],[_Row]]))</f>
        <v/>
      </c>
      <c r="G29" s="119" t="str">
        <f aca="false">IF(IFERROR(INDEX(tsk_Name,GanttView[[#This Row],[_Row]])="",TRUE()),"",INDEX(tsk_FcStart,GanttView[[#This Row],[_Row]]))</f>
        <v/>
      </c>
      <c r="H29" s="119" t="str">
        <f aca="false">IF(IFERROR(INDEX(tsk_Name,GanttView[[#This Row],[_Row]])="",TRUE()),"",INDEX(tsk_FcFinish,GanttView[[#This Row],[_Row]]))</f>
        <v/>
      </c>
      <c r="I29" s="120" t="str">
        <f aca="false">IF(IFERROR(INDEX(tsk_Name,GanttView[[#This Row],[_Row]])="",TRUE()),"",INDEX(tsk_Progress,GanttView[[#This Row],[_Row]]))</f>
        <v/>
      </c>
      <c r="J29" s="118" t="str">
        <f aca="false">IF(IFERROR(INDEX(tsk_Name,GanttView[[#This Row],[_Row]])="",TRUE()),"",INDEX(tsk_ResourceNames,GanttView[[#This Row],[_Row]])&amp;"")</f>
        <v/>
      </c>
      <c r="K29" s="117" t="str">
        <f aca="false">IF(IFERROR(INDEX(tsk_Name,GanttView[[#This Row],[_Row]])="",TRUE()),"",INDEX(tsk_Status,GanttView[[#This Row],[_Row]]))</f>
        <v/>
      </c>
      <c r="L29" s="121" t="n">
        <f aca="false">ROW()-ROW(GanttView[[#Headers],[ID]])</f>
        <v>24</v>
      </c>
      <c r="M29" s="122" t="b">
        <f aca="false">IF(IFERROR(INDEX(tsk_Name,GanttView[[#This Row],[_Row]])="",TRUE()),FALSE(),INDEX(tsk_IsSummary,GanttView[[#This Row],[_Row]]))</f>
        <v>0</v>
      </c>
      <c r="N29" s="122" t="b">
        <f aca="false">IF(IFERROR(INDEX(tsk_Name,GanttView[[#This Row],[_Row]])="",TRUE()),FALSE(),AND(INDEX(tsk_IsLeaf,GanttView[[#This Row],[_Row]])=1,N(INDEX(tsk_Duration,GanttView[[#This Row],[_Row]]))=0))</f>
        <v>0</v>
      </c>
      <c r="O29" s="123" t="n">
        <f aca="false">IF(IFERROR(INDEX(tsk_Name,GanttView[[#This Row],[_Row]])="",TRUE()),0,IF(AND(INDEX(tsk_IsLeaf,GanttView[[#This Row],[_Row]])=1,NOT(GanttView[[#This Row],[_IsMilestone]]),N(GanttView[[#This Row],[%]])&gt;0),GanttView[[#This Row],[Forecast Start]],0))</f>
        <v>0</v>
      </c>
      <c r="P29" s="123" t="n">
        <f aca="false">IF(GanttView[[#This Row],[_DoneFrom]]=0,0,IF(GanttView[[#This Row],[%]]&gt;=1,GanttView[[#This Row],[Forecast Finish]],MAX(GanttView[[#This Row],[_DoneFrom]],GanttView[[#This Row],[Forecast Start]]+ROUND((GanttView[[#This Row],[Forecast Finish]]-GanttView[[#This Row],[Forecast Start]]+1)*GanttView[[#This Row],[%]],0)-1)))</f>
        <v>0</v>
      </c>
      <c r="Q29" s="123" t="n">
        <f aca="false">IF(IFERROR(INDEX(tsk_Name,GanttView[[#This Row],[_Row]])="",TRUE()),0,IF(OR(INDEX(tsk_IsLeaf,GanttView[[#This Row],[_Row]])&lt;&gt;1,GanttView[[#This Row],[_IsMilestone]],N(GanttView[[#This Row],[%]])&gt;=1),0,IF(GanttView[[#This Row],[_DoneTo]]&gt;0,GanttView[[#This Row],[_DoneTo]]+1,GanttView[[#This Row],[Forecast Start]])))</f>
        <v>0</v>
      </c>
      <c r="R29" s="123" t="n">
        <f aca="false">IF(GanttView[[#This Row],[_RemFrom]]=0,0,GanttView[[#This Row],[Forecast Finish]])</f>
        <v>0</v>
      </c>
      <c r="S29" s="122" t="b">
        <f aca="false">IF(IFERROR(INDEX(tsk_Name,GanttView[[#This Row],[_Row]])="",TRUE()),FALSE(),N(INDEX(tsk_Variance,GanttView[[#This Row],[_Row]]))&gt;0)</f>
        <v>0</v>
      </c>
      <c r="T29" s="123" t="n">
        <f aca="false">IF(IFERROR(INDEX(tsk_Name,GanttView[[#This Row],[_Row]])="",TRUE()),0,N(INDEX(tsk_Deadline,GanttView[[#This Row],[_Row]])))</f>
        <v>0</v>
      </c>
      <c r="U29" s="122" t="b">
        <f aca="false">IF(IFERROR(INDEX(tsk_Name,GanttView[[#This Row],[_Row]])="",TRUE()),FALSE(),INDEX(tsk_Critical,GanttView[[#This Row],[_Row]])="Yes")</f>
        <v>0</v>
      </c>
    </row>
    <row r="30" customFormat="false" ht="15" hidden="false" customHeight="false" outlineLevel="0" collapsed="false">
      <c r="A30" s="117" t="str">
        <f aca="false">IF(IFERROR(INDEX(tsk_Name,GanttView[[#This Row],[_Row]])="",TRUE()),"",INDEX(tsk_ID,GanttView[[#This Row],[_Row]]))</f>
        <v/>
      </c>
      <c r="B30" s="117" t="str">
        <f aca="false">IF(IFERROR(INDEX(tsk_Name,GanttView[[#This Row],[_Row]])="",TRUE()),"",INDEX(tsk_WBS,GanttView[[#This Row],[_Row]]))</f>
        <v/>
      </c>
      <c r="C30" s="118" t="str">
        <f aca="false">IF(IFERROR(INDEX(tsk_Name,GanttView[[#This Row],[_Row]])="",TRUE()),"",REPT("    ",INDEX(tsk_Level,GanttView[[#This Row],[_Row]])-1)&amp;INDEX(tsk_Name,GanttView[[#This Row],[_Row]]))</f>
        <v/>
      </c>
      <c r="D30" s="117" t="str">
        <f aca="false">IF(IFERROR(INDEX(tsk_Name,GanttView[[#This Row],[_Row]])="",TRUE()),"",IF(INDEX(tsk_IsSummary,GanttView[[#This Row],[_Row]]),NETWORKDAYS.INTL(INDEX(tsk_FcStart,GanttView[[#This Row],[_Row]]),INDEX(tsk_FcFinish,GanttView[[#This Row],[_Row]]),WorkWeek,Holidays),N(INDEX(tsk_Duration,GanttView[[#This Row],[_Row]]))))</f>
        <v/>
      </c>
      <c r="E30" s="119" t="str">
        <f aca="false">IF(IFERROR(INDEX(tsk_Name,GanttView[[#This Row],[_Row]])="",TRUE()),"",INDEX(tsk_PlanStart,GanttView[[#This Row],[_Row]]))</f>
        <v/>
      </c>
      <c r="F30" s="119" t="str">
        <f aca="false">IF(IFERROR(INDEX(tsk_Name,GanttView[[#This Row],[_Row]])="",TRUE()),"",INDEX(tsk_PlanFinish,GanttView[[#This Row],[_Row]]))</f>
        <v/>
      </c>
      <c r="G30" s="119" t="str">
        <f aca="false">IF(IFERROR(INDEX(tsk_Name,GanttView[[#This Row],[_Row]])="",TRUE()),"",INDEX(tsk_FcStart,GanttView[[#This Row],[_Row]]))</f>
        <v/>
      </c>
      <c r="H30" s="119" t="str">
        <f aca="false">IF(IFERROR(INDEX(tsk_Name,GanttView[[#This Row],[_Row]])="",TRUE()),"",INDEX(tsk_FcFinish,GanttView[[#This Row],[_Row]]))</f>
        <v/>
      </c>
      <c r="I30" s="120" t="str">
        <f aca="false">IF(IFERROR(INDEX(tsk_Name,GanttView[[#This Row],[_Row]])="",TRUE()),"",INDEX(tsk_Progress,GanttView[[#This Row],[_Row]]))</f>
        <v/>
      </c>
      <c r="J30" s="118" t="str">
        <f aca="false">IF(IFERROR(INDEX(tsk_Name,GanttView[[#This Row],[_Row]])="",TRUE()),"",INDEX(tsk_ResourceNames,GanttView[[#This Row],[_Row]])&amp;"")</f>
        <v/>
      </c>
      <c r="K30" s="117" t="str">
        <f aca="false">IF(IFERROR(INDEX(tsk_Name,GanttView[[#This Row],[_Row]])="",TRUE()),"",INDEX(tsk_Status,GanttView[[#This Row],[_Row]]))</f>
        <v/>
      </c>
      <c r="L30" s="121" t="n">
        <f aca="false">ROW()-ROW(GanttView[[#Headers],[ID]])</f>
        <v>25</v>
      </c>
      <c r="M30" s="122" t="b">
        <f aca="false">IF(IFERROR(INDEX(tsk_Name,GanttView[[#This Row],[_Row]])="",TRUE()),FALSE(),INDEX(tsk_IsSummary,GanttView[[#This Row],[_Row]]))</f>
        <v>0</v>
      </c>
      <c r="N30" s="122" t="b">
        <f aca="false">IF(IFERROR(INDEX(tsk_Name,GanttView[[#This Row],[_Row]])="",TRUE()),FALSE(),AND(INDEX(tsk_IsLeaf,GanttView[[#This Row],[_Row]])=1,N(INDEX(tsk_Duration,GanttView[[#This Row],[_Row]]))=0))</f>
        <v>0</v>
      </c>
      <c r="O30" s="123" t="n">
        <f aca="false">IF(IFERROR(INDEX(tsk_Name,GanttView[[#This Row],[_Row]])="",TRUE()),0,IF(AND(INDEX(tsk_IsLeaf,GanttView[[#This Row],[_Row]])=1,NOT(GanttView[[#This Row],[_IsMilestone]]),N(GanttView[[#This Row],[%]])&gt;0),GanttView[[#This Row],[Forecast Start]],0))</f>
        <v>0</v>
      </c>
      <c r="P30" s="123" t="n">
        <f aca="false">IF(GanttView[[#This Row],[_DoneFrom]]=0,0,IF(GanttView[[#This Row],[%]]&gt;=1,GanttView[[#This Row],[Forecast Finish]],MAX(GanttView[[#This Row],[_DoneFrom]],GanttView[[#This Row],[Forecast Start]]+ROUND((GanttView[[#This Row],[Forecast Finish]]-GanttView[[#This Row],[Forecast Start]]+1)*GanttView[[#This Row],[%]],0)-1)))</f>
        <v>0</v>
      </c>
      <c r="Q30" s="123" t="n">
        <f aca="false">IF(IFERROR(INDEX(tsk_Name,GanttView[[#This Row],[_Row]])="",TRUE()),0,IF(OR(INDEX(tsk_IsLeaf,GanttView[[#This Row],[_Row]])&lt;&gt;1,GanttView[[#This Row],[_IsMilestone]],N(GanttView[[#This Row],[%]])&gt;=1),0,IF(GanttView[[#This Row],[_DoneTo]]&gt;0,GanttView[[#This Row],[_DoneTo]]+1,GanttView[[#This Row],[Forecast Start]])))</f>
        <v>0</v>
      </c>
      <c r="R30" s="123" t="n">
        <f aca="false">IF(GanttView[[#This Row],[_RemFrom]]=0,0,GanttView[[#This Row],[Forecast Finish]])</f>
        <v>0</v>
      </c>
      <c r="S30" s="122" t="b">
        <f aca="false">IF(IFERROR(INDEX(tsk_Name,GanttView[[#This Row],[_Row]])="",TRUE()),FALSE(),N(INDEX(tsk_Variance,GanttView[[#This Row],[_Row]]))&gt;0)</f>
        <v>0</v>
      </c>
      <c r="T30" s="123" t="n">
        <f aca="false">IF(IFERROR(INDEX(tsk_Name,GanttView[[#This Row],[_Row]])="",TRUE()),0,N(INDEX(tsk_Deadline,GanttView[[#This Row],[_Row]])))</f>
        <v>0</v>
      </c>
      <c r="U30" s="122" t="b">
        <f aca="false">IF(IFERROR(INDEX(tsk_Name,GanttView[[#This Row],[_Row]])="",TRUE()),FALSE(),INDEX(tsk_Critical,GanttView[[#This Row],[_Row]])="Yes")</f>
        <v>0</v>
      </c>
    </row>
    <row r="31" customFormat="false" ht="15" hidden="false" customHeight="false" outlineLevel="0" collapsed="false">
      <c r="A31" s="117" t="str">
        <f aca="false">IF(IFERROR(INDEX(tsk_Name,GanttView[[#This Row],[_Row]])="",TRUE()),"",INDEX(tsk_ID,GanttView[[#This Row],[_Row]]))</f>
        <v/>
      </c>
      <c r="B31" s="117" t="str">
        <f aca="false">IF(IFERROR(INDEX(tsk_Name,GanttView[[#This Row],[_Row]])="",TRUE()),"",INDEX(tsk_WBS,GanttView[[#This Row],[_Row]]))</f>
        <v/>
      </c>
      <c r="C31" s="118" t="str">
        <f aca="false">IF(IFERROR(INDEX(tsk_Name,GanttView[[#This Row],[_Row]])="",TRUE()),"",REPT("    ",INDEX(tsk_Level,GanttView[[#This Row],[_Row]])-1)&amp;INDEX(tsk_Name,GanttView[[#This Row],[_Row]]))</f>
        <v/>
      </c>
      <c r="D31" s="117" t="str">
        <f aca="false">IF(IFERROR(INDEX(tsk_Name,GanttView[[#This Row],[_Row]])="",TRUE()),"",IF(INDEX(tsk_IsSummary,GanttView[[#This Row],[_Row]]),NETWORKDAYS.INTL(INDEX(tsk_FcStart,GanttView[[#This Row],[_Row]]),INDEX(tsk_FcFinish,GanttView[[#This Row],[_Row]]),WorkWeek,Holidays),N(INDEX(tsk_Duration,GanttView[[#This Row],[_Row]]))))</f>
        <v/>
      </c>
      <c r="E31" s="119" t="str">
        <f aca="false">IF(IFERROR(INDEX(tsk_Name,GanttView[[#This Row],[_Row]])="",TRUE()),"",INDEX(tsk_PlanStart,GanttView[[#This Row],[_Row]]))</f>
        <v/>
      </c>
      <c r="F31" s="119" t="str">
        <f aca="false">IF(IFERROR(INDEX(tsk_Name,GanttView[[#This Row],[_Row]])="",TRUE()),"",INDEX(tsk_PlanFinish,GanttView[[#This Row],[_Row]]))</f>
        <v/>
      </c>
      <c r="G31" s="119" t="str">
        <f aca="false">IF(IFERROR(INDEX(tsk_Name,GanttView[[#This Row],[_Row]])="",TRUE()),"",INDEX(tsk_FcStart,GanttView[[#This Row],[_Row]]))</f>
        <v/>
      </c>
      <c r="H31" s="119" t="str">
        <f aca="false">IF(IFERROR(INDEX(tsk_Name,GanttView[[#This Row],[_Row]])="",TRUE()),"",INDEX(tsk_FcFinish,GanttView[[#This Row],[_Row]]))</f>
        <v/>
      </c>
      <c r="I31" s="120" t="str">
        <f aca="false">IF(IFERROR(INDEX(tsk_Name,GanttView[[#This Row],[_Row]])="",TRUE()),"",INDEX(tsk_Progress,GanttView[[#This Row],[_Row]]))</f>
        <v/>
      </c>
      <c r="J31" s="118" t="str">
        <f aca="false">IF(IFERROR(INDEX(tsk_Name,GanttView[[#This Row],[_Row]])="",TRUE()),"",INDEX(tsk_ResourceNames,GanttView[[#This Row],[_Row]])&amp;"")</f>
        <v/>
      </c>
      <c r="K31" s="117" t="str">
        <f aca="false">IF(IFERROR(INDEX(tsk_Name,GanttView[[#This Row],[_Row]])="",TRUE()),"",INDEX(tsk_Status,GanttView[[#This Row],[_Row]]))</f>
        <v/>
      </c>
      <c r="L31" s="121" t="n">
        <f aca="false">ROW()-ROW(GanttView[[#Headers],[ID]])</f>
        <v>26</v>
      </c>
      <c r="M31" s="122" t="b">
        <f aca="false">IF(IFERROR(INDEX(tsk_Name,GanttView[[#This Row],[_Row]])="",TRUE()),FALSE(),INDEX(tsk_IsSummary,GanttView[[#This Row],[_Row]]))</f>
        <v>0</v>
      </c>
      <c r="N31" s="122" t="b">
        <f aca="false">IF(IFERROR(INDEX(tsk_Name,GanttView[[#This Row],[_Row]])="",TRUE()),FALSE(),AND(INDEX(tsk_IsLeaf,GanttView[[#This Row],[_Row]])=1,N(INDEX(tsk_Duration,GanttView[[#This Row],[_Row]]))=0))</f>
        <v>0</v>
      </c>
      <c r="O31" s="123" t="n">
        <f aca="false">IF(IFERROR(INDEX(tsk_Name,GanttView[[#This Row],[_Row]])="",TRUE()),0,IF(AND(INDEX(tsk_IsLeaf,GanttView[[#This Row],[_Row]])=1,NOT(GanttView[[#This Row],[_IsMilestone]]),N(GanttView[[#This Row],[%]])&gt;0),GanttView[[#This Row],[Forecast Start]],0))</f>
        <v>0</v>
      </c>
      <c r="P31" s="123" t="n">
        <f aca="false">IF(GanttView[[#This Row],[_DoneFrom]]=0,0,IF(GanttView[[#This Row],[%]]&gt;=1,GanttView[[#This Row],[Forecast Finish]],MAX(GanttView[[#This Row],[_DoneFrom]],GanttView[[#This Row],[Forecast Start]]+ROUND((GanttView[[#This Row],[Forecast Finish]]-GanttView[[#This Row],[Forecast Start]]+1)*GanttView[[#This Row],[%]],0)-1)))</f>
        <v>0</v>
      </c>
      <c r="Q31" s="123" t="n">
        <f aca="false">IF(IFERROR(INDEX(tsk_Name,GanttView[[#This Row],[_Row]])="",TRUE()),0,IF(OR(INDEX(tsk_IsLeaf,GanttView[[#This Row],[_Row]])&lt;&gt;1,GanttView[[#This Row],[_IsMilestone]],N(GanttView[[#This Row],[%]])&gt;=1),0,IF(GanttView[[#This Row],[_DoneTo]]&gt;0,GanttView[[#This Row],[_DoneTo]]+1,GanttView[[#This Row],[Forecast Start]])))</f>
        <v>0</v>
      </c>
      <c r="R31" s="123" t="n">
        <f aca="false">IF(GanttView[[#This Row],[_RemFrom]]=0,0,GanttView[[#This Row],[Forecast Finish]])</f>
        <v>0</v>
      </c>
      <c r="S31" s="122" t="b">
        <f aca="false">IF(IFERROR(INDEX(tsk_Name,GanttView[[#This Row],[_Row]])="",TRUE()),FALSE(),N(INDEX(tsk_Variance,GanttView[[#This Row],[_Row]]))&gt;0)</f>
        <v>0</v>
      </c>
      <c r="T31" s="123" t="n">
        <f aca="false">IF(IFERROR(INDEX(tsk_Name,GanttView[[#This Row],[_Row]])="",TRUE()),0,N(INDEX(tsk_Deadline,GanttView[[#This Row],[_Row]])))</f>
        <v>0</v>
      </c>
      <c r="U31" s="122" t="b">
        <f aca="false">IF(IFERROR(INDEX(tsk_Name,GanttView[[#This Row],[_Row]])="",TRUE()),FALSE(),INDEX(tsk_Critical,GanttView[[#This Row],[_Row]])="Yes")</f>
        <v>0</v>
      </c>
    </row>
    <row r="32" customFormat="false" ht="15" hidden="false" customHeight="false" outlineLevel="0" collapsed="false">
      <c r="A32" s="117" t="str">
        <f aca="false">IF(IFERROR(INDEX(tsk_Name,GanttView[[#This Row],[_Row]])="",TRUE()),"",INDEX(tsk_ID,GanttView[[#This Row],[_Row]]))</f>
        <v/>
      </c>
      <c r="B32" s="117" t="str">
        <f aca="false">IF(IFERROR(INDEX(tsk_Name,GanttView[[#This Row],[_Row]])="",TRUE()),"",INDEX(tsk_WBS,GanttView[[#This Row],[_Row]]))</f>
        <v/>
      </c>
      <c r="C32" s="118" t="str">
        <f aca="false">IF(IFERROR(INDEX(tsk_Name,GanttView[[#This Row],[_Row]])="",TRUE()),"",REPT("    ",INDEX(tsk_Level,GanttView[[#This Row],[_Row]])-1)&amp;INDEX(tsk_Name,GanttView[[#This Row],[_Row]]))</f>
        <v/>
      </c>
      <c r="D32" s="117" t="str">
        <f aca="false">IF(IFERROR(INDEX(tsk_Name,GanttView[[#This Row],[_Row]])="",TRUE()),"",IF(INDEX(tsk_IsSummary,GanttView[[#This Row],[_Row]]),NETWORKDAYS.INTL(INDEX(tsk_FcStart,GanttView[[#This Row],[_Row]]),INDEX(tsk_FcFinish,GanttView[[#This Row],[_Row]]),WorkWeek,Holidays),N(INDEX(tsk_Duration,GanttView[[#This Row],[_Row]]))))</f>
        <v/>
      </c>
      <c r="E32" s="119" t="str">
        <f aca="false">IF(IFERROR(INDEX(tsk_Name,GanttView[[#This Row],[_Row]])="",TRUE()),"",INDEX(tsk_PlanStart,GanttView[[#This Row],[_Row]]))</f>
        <v/>
      </c>
      <c r="F32" s="119" t="str">
        <f aca="false">IF(IFERROR(INDEX(tsk_Name,GanttView[[#This Row],[_Row]])="",TRUE()),"",INDEX(tsk_PlanFinish,GanttView[[#This Row],[_Row]]))</f>
        <v/>
      </c>
      <c r="G32" s="119" t="str">
        <f aca="false">IF(IFERROR(INDEX(tsk_Name,GanttView[[#This Row],[_Row]])="",TRUE()),"",INDEX(tsk_FcStart,GanttView[[#This Row],[_Row]]))</f>
        <v/>
      </c>
      <c r="H32" s="119" t="str">
        <f aca="false">IF(IFERROR(INDEX(tsk_Name,GanttView[[#This Row],[_Row]])="",TRUE()),"",INDEX(tsk_FcFinish,GanttView[[#This Row],[_Row]]))</f>
        <v/>
      </c>
      <c r="I32" s="120" t="str">
        <f aca="false">IF(IFERROR(INDEX(tsk_Name,GanttView[[#This Row],[_Row]])="",TRUE()),"",INDEX(tsk_Progress,GanttView[[#This Row],[_Row]]))</f>
        <v/>
      </c>
      <c r="J32" s="118" t="str">
        <f aca="false">IF(IFERROR(INDEX(tsk_Name,GanttView[[#This Row],[_Row]])="",TRUE()),"",INDEX(tsk_ResourceNames,GanttView[[#This Row],[_Row]])&amp;"")</f>
        <v/>
      </c>
      <c r="K32" s="117" t="str">
        <f aca="false">IF(IFERROR(INDEX(tsk_Name,GanttView[[#This Row],[_Row]])="",TRUE()),"",INDEX(tsk_Status,GanttView[[#This Row],[_Row]]))</f>
        <v/>
      </c>
      <c r="L32" s="121" t="n">
        <f aca="false">ROW()-ROW(GanttView[[#Headers],[ID]])</f>
        <v>27</v>
      </c>
      <c r="M32" s="122" t="b">
        <f aca="false">IF(IFERROR(INDEX(tsk_Name,GanttView[[#This Row],[_Row]])="",TRUE()),FALSE(),INDEX(tsk_IsSummary,GanttView[[#This Row],[_Row]]))</f>
        <v>0</v>
      </c>
      <c r="N32" s="122" t="b">
        <f aca="false">IF(IFERROR(INDEX(tsk_Name,GanttView[[#This Row],[_Row]])="",TRUE()),FALSE(),AND(INDEX(tsk_IsLeaf,GanttView[[#This Row],[_Row]])=1,N(INDEX(tsk_Duration,GanttView[[#This Row],[_Row]]))=0))</f>
        <v>0</v>
      </c>
      <c r="O32" s="123" t="n">
        <f aca="false">IF(IFERROR(INDEX(tsk_Name,GanttView[[#This Row],[_Row]])="",TRUE()),0,IF(AND(INDEX(tsk_IsLeaf,GanttView[[#This Row],[_Row]])=1,NOT(GanttView[[#This Row],[_IsMilestone]]),N(GanttView[[#This Row],[%]])&gt;0),GanttView[[#This Row],[Forecast Start]],0))</f>
        <v>0</v>
      </c>
      <c r="P32" s="123" t="n">
        <f aca="false">IF(GanttView[[#This Row],[_DoneFrom]]=0,0,IF(GanttView[[#This Row],[%]]&gt;=1,GanttView[[#This Row],[Forecast Finish]],MAX(GanttView[[#This Row],[_DoneFrom]],GanttView[[#This Row],[Forecast Start]]+ROUND((GanttView[[#This Row],[Forecast Finish]]-GanttView[[#This Row],[Forecast Start]]+1)*GanttView[[#This Row],[%]],0)-1)))</f>
        <v>0</v>
      </c>
      <c r="Q32" s="123" t="n">
        <f aca="false">IF(IFERROR(INDEX(tsk_Name,GanttView[[#This Row],[_Row]])="",TRUE()),0,IF(OR(INDEX(tsk_IsLeaf,GanttView[[#This Row],[_Row]])&lt;&gt;1,GanttView[[#This Row],[_IsMilestone]],N(GanttView[[#This Row],[%]])&gt;=1),0,IF(GanttView[[#This Row],[_DoneTo]]&gt;0,GanttView[[#This Row],[_DoneTo]]+1,GanttView[[#This Row],[Forecast Start]])))</f>
        <v>0</v>
      </c>
      <c r="R32" s="123" t="n">
        <f aca="false">IF(GanttView[[#This Row],[_RemFrom]]=0,0,GanttView[[#This Row],[Forecast Finish]])</f>
        <v>0</v>
      </c>
      <c r="S32" s="122" t="b">
        <f aca="false">IF(IFERROR(INDEX(tsk_Name,GanttView[[#This Row],[_Row]])="",TRUE()),FALSE(),N(INDEX(tsk_Variance,GanttView[[#This Row],[_Row]]))&gt;0)</f>
        <v>0</v>
      </c>
      <c r="T32" s="123" t="n">
        <f aca="false">IF(IFERROR(INDEX(tsk_Name,GanttView[[#This Row],[_Row]])="",TRUE()),0,N(INDEX(tsk_Deadline,GanttView[[#This Row],[_Row]])))</f>
        <v>0</v>
      </c>
      <c r="U32" s="122" t="b">
        <f aca="false">IF(IFERROR(INDEX(tsk_Name,GanttView[[#This Row],[_Row]])="",TRUE()),FALSE(),INDEX(tsk_Critical,GanttView[[#This Row],[_Row]])="Yes")</f>
        <v>0</v>
      </c>
    </row>
    <row r="33" customFormat="false" ht="15" hidden="false" customHeight="false" outlineLevel="0" collapsed="false">
      <c r="A33" s="117" t="str">
        <f aca="false">IF(IFERROR(INDEX(tsk_Name,GanttView[[#This Row],[_Row]])="",TRUE()),"",INDEX(tsk_ID,GanttView[[#This Row],[_Row]]))</f>
        <v/>
      </c>
      <c r="B33" s="117" t="str">
        <f aca="false">IF(IFERROR(INDEX(tsk_Name,GanttView[[#This Row],[_Row]])="",TRUE()),"",INDEX(tsk_WBS,GanttView[[#This Row],[_Row]]))</f>
        <v/>
      </c>
      <c r="C33" s="118" t="str">
        <f aca="false">IF(IFERROR(INDEX(tsk_Name,GanttView[[#This Row],[_Row]])="",TRUE()),"",REPT("    ",INDEX(tsk_Level,GanttView[[#This Row],[_Row]])-1)&amp;INDEX(tsk_Name,GanttView[[#This Row],[_Row]]))</f>
        <v/>
      </c>
      <c r="D33" s="117" t="str">
        <f aca="false">IF(IFERROR(INDEX(tsk_Name,GanttView[[#This Row],[_Row]])="",TRUE()),"",IF(INDEX(tsk_IsSummary,GanttView[[#This Row],[_Row]]),NETWORKDAYS.INTL(INDEX(tsk_FcStart,GanttView[[#This Row],[_Row]]),INDEX(tsk_FcFinish,GanttView[[#This Row],[_Row]]),WorkWeek,Holidays),N(INDEX(tsk_Duration,GanttView[[#This Row],[_Row]]))))</f>
        <v/>
      </c>
      <c r="E33" s="119" t="str">
        <f aca="false">IF(IFERROR(INDEX(tsk_Name,GanttView[[#This Row],[_Row]])="",TRUE()),"",INDEX(tsk_PlanStart,GanttView[[#This Row],[_Row]]))</f>
        <v/>
      </c>
      <c r="F33" s="119" t="str">
        <f aca="false">IF(IFERROR(INDEX(tsk_Name,GanttView[[#This Row],[_Row]])="",TRUE()),"",INDEX(tsk_PlanFinish,GanttView[[#This Row],[_Row]]))</f>
        <v/>
      </c>
      <c r="G33" s="119" t="str">
        <f aca="false">IF(IFERROR(INDEX(tsk_Name,GanttView[[#This Row],[_Row]])="",TRUE()),"",INDEX(tsk_FcStart,GanttView[[#This Row],[_Row]]))</f>
        <v/>
      </c>
      <c r="H33" s="119" t="str">
        <f aca="false">IF(IFERROR(INDEX(tsk_Name,GanttView[[#This Row],[_Row]])="",TRUE()),"",INDEX(tsk_FcFinish,GanttView[[#This Row],[_Row]]))</f>
        <v/>
      </c>
      <c r="I33" s="120" t="str">
        <f aca="false">IF(IFERROR(INDEX(tsk_Name,GanttView[[#This Row],[_Row]])="",TRUE()),"",INDEX(tsk_Progress,GanttView[[#This Row],[_Row]]))</f>
        <v/>
      </c>
      <c r="J33" s="118" t="str">
        <f aca="false">IF(IFERROR(INDEX(tsk_Name,GanttView[[#This Row],[_Row]])="",TRUE()),"",INDEX(tsk_ResourceNames,GanttView[[#This Row],[_Row]])&amp;"")</f>
        <v/>
      </c>
      <c r="K33" s="117" t="str">
        <f aca="false">IF(IFERROR(INDEX(tsk_Name,GanttView[[#This Row],[_Row]])="",TRUE()),"",INDEX(tsk_Status,GanttView[[#This Row],[_Row]]))</f>
        <v/>
      </c>
      <c r="L33" s="121" t="n">
        <f aca="false">ROW()-ROW(GanttView[[#Headers],[ID]])</f>
        <v>28</v>
      </c>
      <c r="M33" s="122" t="b">
        <f aca="false">IF(IFERROR(INDEX(tsk_Name,GanttView[[#This Row],[_Row]])="",TRUE()),FALSE(),INDEX(tsk_IsSummary,GanttView[[#This Row],[_Row]]))</f>
        <v>0</v>
      </c>
      <c r="N33" s="122" t="b">
        <f aca="false">IF(IFERROR(INDEX(tsk_Name,GanttView[[#This Row],[_Row]])="",TRUE()),FALSE(),AND(INDEX(tsk_IsLeaf,GanttView[[#This Row],[_Row]])=1,N(INDEX(tsk_Duration,GanttView[[#This Row],[_Row]]))=0))</f>
        <v>0</v>
      </c>
      <c r="O33" s="123" t="n">
        <f aca="false">IF(IFERROR(INDEX(tsk_Name,GanttView[[#This Row],[_Row]])="",TRUE()),0,IF(AND(INDEX(tsk_IsLeaf,GanttView[[#This Row],[_Row]])=1,NOT(GanttView[[#This Row],[_IsMilestone]]),N(GanttView[[#This Row],[%]])&gt;0),GanttView[[#This Row],[Forecast Start]],0))</f>
        <v>0</v>
      </c>
      <c r="P33" s="123" t="n">
        <f aca="false">IF(GanttView[[#This Row],[_DoneFrom]]=0,0,IF(GanttView[[#This Row],[%]]&gt;=1,GanttView[[#This Row],[Forecast Finish]],MAX(GanttView[[#This Row],[_DoneFrom]],GanttView[[#This Row],[Forecast Start]]+ROUND((GanttView[[#This Row],[Forecast Finish]]-GanttView[[#This Row],[Forecast Start]]+1)*GanttView[[#This Row],[%]],0)-1)))</f>
        <v>0</v>
      </c>
      <c r="Q33" s="123" t="n">
        <f aca="false">IF(IFERROR(INDEX(tsk_Name,GanttView[[#This Row],[_Row]])="",TRUE()),0,IF(OR(INDEX(tsk_IsLeaf,GanttView[[#This Row],[_Row]])&lt;&gt;1,GanttView[[#This Row],[_IsMilestone]],N(GanttView[[#This Row],[%]])&gt;=1),0,IF(GanttView[[#This Row],[_DoneTo]]&gt;0,GanttView[[#This Row],[_DoneTo]]+1,GanttView[[#This Row],[Forecast Start]])))</f>
        <v>0</v>
      </c>
      <c r="R33" s="123" t="n">
        <f aca="false">IF(GanttView[[#This Row],[_RemFrom]]=0,0,GanttView[[#This Row],[Forecast Finish]])</f>
        <v>0</v>
      </c>
      <c r="S33" s="122" t="b">
        <f aca="false">IF(IFERROR(INDEX(tsk_Name,GanttView[[#This Row],[_Row]])="",TRUE()),FALSE(),N(INDEX(tsk_Variance,GanttView[[#This Row],[_Row]]))&gt;0)</f>
        <v>0</v>
      </c>
      <c r="T33" s="123" t="n">
        <f aca="false">IF(IFERROR(INDEX(tsk_Name,GanttView[[#This Row],[_Row]])="",TRUE()),0,N(INDEX(tsk_Deadline,GanttView[[#This Row],[_Row]])))</f>
        <v>0</v>
      </c>
      <c r="U33" s="122" t="b">
        <f aca="false">IF(IFERROR(INDEX(tsk_Name,GanttView[[#This Row],[_Row]])="",TRUE()),FALSE(),INDEX(tsk_Critical,GanttView[[#This Row],[_Row]])="Yes")</f>
        <v>0</v>
      </c>
    </row>
    <row r="34" customFormat="false" ht="15" hidden="false" customHeight="false" outlineLevel="0" collapsed="false">
      <c r="A34" s="117" t="str">
        <f aca="false">IF(IFERROR(INDEX(tsk_Name,GanttView[[#This Row],[_Row]])="",TRUE()),"",INDEX(tsk_ID,GanttView[[#This Row],[_Row]]))</f>
        <v/>
      </c>
      <c r="B34" s="117" t="str">
        <f aca="false">IF(IFERROR(INDEX(tsk_Name,GanttView[[#This Row],[_Row]])="",TRUE()),"",INDEX(tsk_WBS,GanttView[[#This Row],[_Row]]))</f>
        <v/>
      </c>
      <c r="C34" s="118" t="str">
        <f aca="false">IF(IFERROR(INDEX(tsk_Name,GanttView[[#This Row],[_Row]])="",TRUE()),"",REPT("    ",INDEX(tsk_Level,GanttView[[#This Row],[_Row]])-1)&amp;INDEX(tsk_Name,GanttView[[#This Row],[_Row]]))</f>
        <v/>
      </c>
      <c r="D34" s="117" t="str">
        <f aca="false">IF(IFERROR(INDEX(tsk_Name,GanttView[[#This Row],[_Row]])="",TRUE()),"",IF(INDEX(tsk_IsSummary,GanttView[[#This Row],[_Row]]),NETWORKDAYS.INTL(INDEX(tsk_FcStart,GanttView[[#This Row],[_Row]]),INDEX(tsk_FcFinish,GanttView[[#This Row],[_Row]]),WorkWeek,Holidays),N(INDEX(tsk_Duration,GanttView[[#This Row],[_Row]]))))</f>
        <v/>
      </c>
      <c r="E34" s="119" t="str">
        <f aca="false">IF(IFERROR(INDEX(tsk_Name,GanttView[[#This Row],[_Row]])="",TRUE()),"",INDEX(tsk_PlanStart,GanttView[[#This Row],[_Row]]))</f>
        <v/>
      </c>
      <c r="F34" s="119" t="str">
        <f aca="false">IF(IFERROR(INDEX(tsk_Name,GanttView[[#This Row],[_Row]])="",TRUE()),"",INDEX(tsk_PlanFinish,GanttView[[#This Row],[_Row]]))</f>
        <v/>
      </c>
      <c r="G34" s="119" t="str">
        <f aca="false">IF(IFERROR(INDEX(tsk_Name,GanttView[[#This Row],[_Row]])="",TRUE()),"",INDEX(tsk_FcStart,GanttView[[#This Row],[_Row]]))</f>
        <v/>
      </c>
      <c r="H34" s="119" t="str">
        <f aca="false">IF(IFERROR(INDEX(tsk_Name,GanttView[[#This Row],[_Row]])="",TRUE()),"",INDEX(tsk_FcFinish,GanttView[[#This Row],[_Row]]))</f>
        <v/>
      </c>
      <c r="I34" s="120" t="str">
        <f aca="false">IF(IFERROR(INDEX(tsk_Name,GanttView[[#This Row],[_Row]])="",TRUE()),"",INDEX(tsk_Progress,GanttView[[#This Row],[_Row]]))</f>
        <v/>
      </c>
      <c r="J34" s="118" t="str">
        <f aca="false">IF(IFERROR(INDEX(tsk_Name,GanttView[[#This Row],[_Row]])="",TRUE()),"",INDEX(tsk_ResourceNames,GanttView[[#This Row],[_Row]])&amp;"")</f>
        <v/>
      </c>
      <c r="K34" s="117" t="str">
        <f aca="false">IF(IFERROR(INDEX(tsk_Name,GanttView[[#This Row],[_Row]])="",TRUE()),"",INDEX(tsk_Status,GanttView[[#This Row],[_Row]]))</f>
        <v/>
      </c>
      <c r="L34" s="121" t="n">
        <f aca="false">ROW()-ROW(GanttView[[#Headers],[ID]])</f>
        <v>29</v>
      </c>
      <c r="M34" s="122" t="b">
        <f aca="false">IF(IFERROR(INDEX(tsk_Name,GanttView[[#This Row],[_Row]])="",TRUE()),FALSE(),INDEX(tsk_IsSummary,GanttView[[#This Row],[_Row]]))</f>
        <v>0</v>
      </c>
      <c r="N34" s="122" t="b">
        <f aca="false">IF(IFERROR(INDEX(tsk_Name,GanttView[[#This Row],[_Row]])="",TRUE()),FALSE(),AND(INDEX(tsk_IsLeaf,GanttView[[#This Row],[_Row]])=1,N(INDEX(tsk_Duration,GanttView[[#This Row],[_Row]]))=0))</f>
        <v>0</v>
      </c>
      <c r="O34" s="123" t="n">
        <f aca="false">IF(IFERROR(INDEX(tsk_Name,GanttView[[#This Row],[_Row]])="",TRUE()),0,IF(AND(INDEX(tsk_IsLeaf,GanttView[[#This Row],[_Row]])=1,NOT(GanttView[[#This Row],[_IsMilestone]]),N(GanttView[[#This Row],[%]])&gt;0),GanttView[[#This Row],[Forecast Start]],0))</f>
        <v>0</v>
      </c>
      <c r="P34" s="123" t="n">
        <f aca="false">IF(GanttView[[#This Row],[_DoneFrom]]=0,0,IF(GanttView[[#This Row],[%]]&gt;=1,GanttView[[#This Row],[Forecast Finish]],MAX(GanttView[[#This Row],[_DoneFrom]],GanttView[[#This Row],[Forecast Start]]+ROUND((GanttView[[#This Row],[Forecast Finish]]-GanttView[[#This Row],[Forecast Start]]+1)*GanttView[[#This Row],[%]],0)-1)))</f>
        <v>0</v>
      </c>
      <c r="Q34" s="123" t="n">
        <f aca="false">IF(IFERROR(INDEX(tsk_Name,GanttView[[#This Row],[_Row]])="",TRUE()),0,IF(OR(INDEX(tsk_IsLeaf,GanttView[[#This Row],[_Row]])&lt;&gt;1,GanttView[[#This Row],[_IsMilestone]],N(GanttView[[#This Row],[%]])&gt;=1),0,IF(GanttView[[#This Row],[_DoneTo]]&gt;0,GanttView[[#This Row],[_DoneTo]]+1,GanttView[[#This Row],[Forecast Start]])))</f>
        <v>0</v>
      </c>
      <c r="R34" s="123" t="n">
        <f aca="false">IF(GanttView[[#This Row],[_RemFrom]]=0,0,GanttView[[#This Row],[Forecast Finish]])</f>
        <v>0</v>
      </c>
      <c r="S34" s="122" t="b">
        <f aca="false">IF(IFERROR(INDEX(tsk_Name,GanttView[[#This Row],[_Row]])="",TRUE()),FALSE(),N(INDEX(tsk_Variance,GanttView[[#This Row],[_Row]]))&gt;0)</f>
        <v>0</v>
      </c>
      <c r="T34" s="123" t="n">
        <f aca="false">IF(IFERROR(INDEX(tsk_Name,GanttView[[#This Row],[_Row]])="",TRUE()),0,N(INDEX(tsk_Deadline,GanttView[[#This Row],[_Row]])))</f>
        <v>0</v>
      </c>
      <c r="U34" s="122" t="b">
        <f aca="false">IF(IFERROR(INDEX(tsk_Name,GanttView[[#This Row],[_Row]])="",TRUE()),FALSE(),INDEX(tsk_Critical,GanttView[[#This Row],[_Row]])="Yes")</f>
        <v>0</v>
      </c>
    </row>
    <row r="35" customFormat="false" ht="15" hidden="false" customHeight="false" outlineLevel="0" collapsed="false">
      <c r="A35" s="117" t="str">
        <f aca="false">IF(IFERROR(INDEX(tsk_Name,GanttView[[#This Row],[_Row]])="",TRUE()),"",INDEX(tsk_ID,GanttView[[#This Row],[_Row]]))</f>
        <v/>
      </c>
      <c r="B35" s="117" t="str">
        <f aca="false">IF(IFERROR(INDEX(tsk_Name,GanttView[[#This Row],[_Row]])="",TRUE()),"",INDEX(tsk_WBS,GanttView[[#This Row],[_Row]]))</f>
        <v/>
      </c>
      <c r="C35" s="118" t="str">
        <f aca="false">IF(IFERROR(INDEX(tsk_Name,GanttView[[#This Row],[_Row]])="",TRUE()),"",REPT("    ",INDEX(tsk_Level,GanttView[[#This Row],[_Row]])-1)&amp;INDEX(tsk_Name,GanttView[[#This Row],[_Row]]))</f>
        <v/>
      </c>
      <c r="D35" s="117" t="str">
        <f aca="false">IF(IFERROR(INDEX(tsk_Name,GanttView[[#This Row],[_Row]])="",TRUE()),"",IF(INDEX(tsk_IsSummary,GanttView[[#This Row],[_Row]]),NETWORKDAYS.INTL(INDEX(tsk_FcStart,GanttView[[#This Row],[_Row]]),INDEX(tsk_FcFinish,GanttView[[#This Row],[_Row]]),WorkWeek,Holidays),N(INDEX(tsk_Duration,GanttView[[#This Row],[_Row]]))))</f>
        <v/>
      </c>
      <c r="E35" s="119" t="str">
        <f aca="false">IF(IFERROR(INDEX(tsk_Name,GanttView[[#This Row],[_Row]])="",TRUE()),"",INDEX(tsk_PlanStart,GanttView[[#This Row],[_Row]]))</f>
        <v/>
      </c>
      <c r="F35" s="119" t="str">
        <f aca="false">IF(IFERROR(INDEX(tsk_Name,GanttView[[#This Row],[_Row]])="",TRUE()),"",INDEX(tsk_PlanFinish,GanttView[[#This Row],[_Row]]))</f>
        <v/>
      </c>
      <c r="G35" s="119" t="str">
        <f aca="false">IF(IFERROR(INDEX(tsk_Name,GanttView[[#This Row],[_Row]])="",TRUE()),"",INDEX(tsk_FcStart,GanttView[[#This Row],[_Row]]))</f>
        <v/>
      </c>
      <c r="H35" s="119" t="str">
        <f aca="false">IF(IFERROR(INDEX(tsk_Name,GanttView[[#This Row],[_Row]])="",TRUE()),"",INDEX(tsk_FcFinish,GanttView[[#This Row],[_Row]]))</f>
        <v/>
      </c>
      <c r="I35" s="120" t="str">
        <f aca="false">IF(IFERROR(INDEX(tsk_Name,GanttView[[#This Row],[_Row]])="",TRUE()),"",INDEX(tsk_Progress,GanttView[[#This Row],[_Row]]))</f>
        <v/>
      </c>
      <c r="J35" s="118" t="str">
        <f aca="false">IF(IFERROR(INDEX(tsk_Name,GanttView[[#This Row],[_Row]])="",TRUE()),"",INDEX(tsk_ResourceNames,GanttView[[#This Row],[_Row]])&amp;"")</f>
        <v/>
      </c>
      <c r="K35" s="117" t="str">
        <f aca="false">IF(IFERROR(INDEX(tsk_Name,GanttView[[#This Row],[_Row]])="",TRUE()),"",INDEX(tsk_Status,GanttView[[#This Row],[_Row]]))</f>
        <v/>
      </c>
      <c r="L35" s="121" t="n">
        <f aca="false">ROW()-ROW(GanttView[[#Headers],[ID]])</f>
        <v>30</v>
      </c>
      <c r="M35" s="122" t="b">
        <f aca="false">IF(IFERROR(INDEX(tsk_Name,GanttView[[#This Row],[_Row]])="",TRUE()),FALSE(),INDEX(tsk_IsSummary,GanttView[[#This Row],[_Row]]))</f>
        <v>0</v>
      </c>
      <c r="N35" s="122" t="b">
        <f aca="false">IF(IFERROR(INDEX(tsk_Name,GanttView[[#This Row],[_Row]])="",TRUE()),FALSE(),AND(INDEX(tsk_IsLeaf,GanttView[[#This Row],[_Row]])=1,N(INDEX(tsk_Duration,GanttView[[#This Row],[_Row]]))=0))</f>
        <v>0</v>
      </c>
      <c r="O35" s="123" t="n">
        <f aca="false">IF(IFERROR(INDEX(tsk_Name,GanttView[[#This Row],[_Row]])="",TRUE()),0,IF(AND(INDEX(tsk_IsLeaf,GanttView[[#This Row],[_Row]])=1,NOT(GanttView[[#This Row],[_IsMilestone]]),N(GanttView[[#This Row],[%]])&gt;0),GanttView[[#This Row],[Forecast Start]],0))</f>
        <v>0</v>
      </c>
      <c r="P35" s="123" t="n">
        <f aca="false">IF(GanttView[[#This Row],[_DoneFrom]]=0,0,IF(GanttView[[#This Row],[%]]&gt;=1,GanttView[[#This Row],[Forecast Finish]],MAX(GanttView[[#This Row],[_DoneFrom]],GanttView[[#This Row],[Forecast Start]]+ROUND((GanttView[[#This Row],[Forecast Finish]]-GanttView[[#This Row],[Forecast Start]]+1)*GanttView[[#This Row],[%]],0)-1)))</f>
        <v>0</v>
      </c>
      <c r="Q35" s="123" t="n">
        <f aca="false">IF(IFERROR(INDEX(tsk_Name,GanttView[[#This Row],[_Row]])="",TRUE()),0,IF(OR(INDEX(tsk_IsLeaf,GanttView[[#This Row],[_Row]])&lt;&gt;1,GanttView[[#This Row],[_IsMilestone]],N(GanttView[[#This Row],[%]])&gt;=1),0,IF(GanttView[[#This Row],[_DoneTo]]&gt;0,GanttView[[#This Row],[_DoneTo]]+1,GanttView[[#This Row],[Forecast Start]])))</f>
        <v>0</v>
      </c>
      <c r="R35" s="123" t="n">
        <f aca="false">IF(GanttView[[#This Row],[_RemFrom]]=0,0,GanttView[[#This Row],[Forecast Finish]])</f>
        <v>0</v>
      </c>
      <c r="S35" s="122" t="b">
        <f aca="false">IF(IFERROR(INDEX(tsk_Name,GanttView[[#This Row],[_Row]])="",TRUE()),FALSE(),N(INDEX(tsk_Variance,GanttView[[#This Row],[_Row]]))&gt;0)</f>
        <v>0</v>
      </c>
      <c r="T35" s="123" t="n">
        <f aca="false">IF(IFERROR(INDEX(tsk_Name,GanttView[[#This Row],[_Row]])="",TRUE()),0,N(INDEX(tsk_Deadline,GanttView[[#This Row],[_Row]])))</f>
        <v>0</v>
      </c>
      <c r="U35" s="122" t="b">
        <f aca="false">IF(IFERROR(INDEX(tsk_Name,GanttView[[#This Row],[_Row]])="",TRUE()),FALSE(),INDEX(tsk_Critical,GanttView[[#This Row],[_Row]])="Yes")</f>
        <v>0</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Row],[_Row]])="",TRUE()),"",INDEX(tsk_ResourceNames,GanttView[[#This Row],[_Row]])&amp;"")</f>
        <v/>
      </c>
      <c r="K36" s="117" t="str">
        <f aca="false">IF(IFERROR(INDEX(tsk_Name,GanttView[[#This Row],[_Row]])="",TRUE()),"",INDEX(tsk_Status,GanttView[[#This Row],[_Row]]))</f>
        <v/>
      </c>
      <c r="L36" s="121" t="n">
        <f aca="false">ROW()-ROW(GanttView[[#Headers],[ID]])</f>
        <v>31</v>
      </c>
      <c r="M36" s="122" t="b">
        <f aca="false">IF(IFERROR(INDEX(tsk_Name,GanttView[[#This Row],[_Row]])="",TRUE()),FALSE(),INDEX(tsk_IsSummary,GanttView[[#This Row],[_Row]]))</f>
        <v>0</v>
      </c>
      <c r="N36" s="122" t="b">
        <f aca="false">IF(IFERROR(INDEX(tsk_Name,GanttView[[#This Row],[_Row]])="",TRUE()),FALSE(),AND(INDEX(tsk_IsLeaf,GanttView[[#This Row],[_Row]])=1,N(INDEX(tsk_Duration,GanttView[[#This Row],[_Row]]))=0))</f>
        <v>0</v>
      </c>
      <c r="O36" s="123" t="n">
        <f aca="false">IF(IFERROR(INDEX(tsk_Name,GanttView[[#This Row],[_Row]])="",TRUE()),0,IF(AND(INDEX(tsk_IsLeaf,GanttView[[#This Row],[_Row]])=1,NOT(GanttView[[#This Row],[_IsMilestone]]),N(GanttView[[#This Row],[%]])&gt;0),GanttView[[#This Row],[Forecast Start]],0))</f>
        <v>0</v>
      </c>
      <c r="P36" s="123" t="n">
        <f aca="false">IF(GanttView[[#This Row],[_DoneFrom]]=0,0,IF(GanttView[[#This Row],[%]]&gt;=1,GanttView[[#This Row],[Forecast Finish]],MAX(GanttView[[#This Row],[_DoneFrom]],GanttView[[#This Row],[Forecast Start]]+ROUND((GanttView[[#This Row],[Forecast Finish]]-GanttView[[#This Row],[Forecast Start]]+1)*GanttView[[#This Row],[%]],0)-1)))</f>
        <v>0</v>
      </c>
      <c r="Q36" s="123" t="n">
        <f aca="false">IF(IFERROR(INDEX(tsk_Name,GanttView[[#This Row],[_Row]])="",TRUE()),0,IF(OR(INDEX(tsk_IsLeaf,GanttView[[#This Row],[_Row]])&lt;&gt;1,GanttView[[#This Row],[_IsMilestone]],N(GanttView[[#This Row],[%]])&gt;=1),0,IF(GanttView[[#This Row],[_DoneTo]]&gt;0,GanttView[[#This Row],[_DoneTo]]+1,GanttView[[#This Row],[Forecast Start]])))</f>
        <v>0</v>
      </c>
      <c r="R36" s="123" t="n">
        <f aca="false">IF(GanttView[[#This Row],[_RemFrom]]=0,0,GanttView[[#This Row],[Forecast Finish]])</f>
        <v>0</v>
      </c>
      <c r="S36" s="122" t="b">
        <f aca="false">IF(IFERROR(INDEX(tsk_Name,GanttView[[#This Row],[_Row]])="",TRUE()),FALSE(),N(INDEX(tsk_Variance,GanttView[[#This Row],[_Row]]))&gt;0)</f>
        <v>0</v>
      </c>
      <c r="T36" s="123" t="n">
        <f aca="false">IF(IFERROR(INDEX(tsk_Name,GanttView[[#This Row],[_Row]])="",TRUE()),0,N(INDEX(tsk_Deadline,GanttView[[#This Row],[_Row]])))</f>
        <v>0</v>
      </c>
      <c r="U36" s="122"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Row],[_Row]])="",TRUE()),"",INDEX(tsk_ResourceNames,GanttView[[#This Row],[_Row]])&amp;"")</f>
        <v/>
      </c>
      <c r="K37" s="117" t="str">
        <f aca="false">IF(IFERROR(INDEX(tsk_Name,GanttView[[#This Row],[_Row]])="",TRUE()),"",INDEX(tsk_Status,GanttView[[#This Row],[_Row]]))</f>
        <v/>
      </c>
      <c r="L37" s="121" t="n">
        <f aca="false">ROW()-ROW(GanttView[[#Headers],[ID]])</f>
        <v>32</v>
      </c>
      <c r="M37" s="122" t="b">
        <f aca="false">IF(IFERROR(INDEX(tsk_Name,GanttView[[#This Row],[_Row]])="",TRUE()),FALSE(),INDEX(tsk_IsSummary,GanttView[[#This Row],[_Row]]))</f>
        <v>0</v>
      </c>
      <c r="N37" s="122" t="b">
        <f aca="false">IF(IFERROR(INDEX(tsk_Name,GanttView[[#This Row],[_Row]])="",TRUE()),FALSE(),AND(INDEX(tsk_IsLeaf,GanttView[[#This Row],[_Row]])=1,N(INDEX(tsk_Duration,GanttView[[#This Row],[_Row]]))=0))</f>
        <v>0</v>
      </c>
      <c r="O37" s="123" t="n">
        <f aca="false">IF(IFERROR(INDEX(tsk_Name,GanttView[[#This Row],[_Row]])="",TRUE()),0,IF(AND(INDEX(tsk_IsLeaf,GanttView[[#This Row],[_Row]])=1,NOT(GanttView[[#This Row],[_IsMilestone]]),N(GanttView[[#This Row],[%]])&gt;0),GanttView[[#This Row],[Forecast Start]],0))</f>
        <v>0</v>
      </c>
      <c r="P37" s="123" t="n">
        <f aca="false">IF(GanttView[[#This Row],[_DoneFrom]]=0,0,IF(GanttView[[#This Row],[%]]&gt;=1,GanttView[[#This Row],[Forecast Finish]],MAX(GanttView[[#This Row],[_DoneFrom]],GanttView[[#This Row],[Forecast Start]]+ROUND((GanttView[[#This Row],[Forecast Finish]]-GanttView[[#This Row],[Forecast Start]]+1)*GanttView[[#This Row],[%]],0)-1)))</f>
        <v>0</v>
      </c>
      <c r="Q37" s="123" t="n">
        <f aca="false">IF(IFERROR(INDEX(tsk_Name,GanttView[[#This Row],[_Row]])="",TRUE()),0,IF(OR(INDEX(tsk_IsLeaf,GanttView[[#This Row],[_Row]])&lt;&gt;1,GanttView[[#This Row],[_IsMilestone]],N(GanttView[[#This Row],[%]])&gt;=1),0,IF(GanttView[[#This Row],[_DoneTo]]&gt;0,GanttView[[#This Row],[_DoneTo]]+1,GanttView[[#This Row],[Forecast Start]])))</f>
        <v>0</v>
      </c>
      <c r="R37" s="123" t="n">
        <f aca="false">IF(GanttView[[#This Row],[_RemFrom]]=0,0,GanttView[[#This Row],[Forecast Finish]])</f>
        <v>0</v>
      </c>
      <c r="S37" s="122" t="b">
        <f aca="false">IF(IFERROR(INDEX(tsk_Name,GanttView[[#This Row],[_Row]])="",TRUE()),FALSE(),N(INDEX(tsk_Variance,GanttView[[#This Row],[_Row]]))&gt;0)</f>
        <v>0</v>
      </c>
      <c r="T37" s="123" t="n">
        <f aca="false">IF(IFERROR(INDEX(tsk_Name,GanttView[[#This Row],[_Row]])="",TRUE()),0,N(INDEX(tsk_Deadline,GanttView[[#This Row],[_Row]])))</f>
        <v>0</v>
      </c>
      <c r="U37" s="122"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Row],[_Row]])="",TRUE()),"",INDEX(tsk_ResourceNames,GanttView[[#This Row],[_Row]])&amp;"")</f>
        <v/>
      </c>
      <c r="K38" s="117" t="str">
        <f aca="false">IF(IFERROR(INDEX(tsk_Name,GanttView[[#This Row],[_Row]])="",TRUE()),"",INDEX(tsk_Status,GanttView[[#This Row],[_Row]]))</f>
        <v/>
      </c>
      <c r="L38" s="121" t="n">
        <f aca="false">ROW()-ROW(GanttView[[#Headers],[ID]])</f>
        <v>33</v>
      </c>
      <c r="M38" s="122" t="b">
        <f aca="false">IF(IFERROR(INDEX(tsk_Name,GanttView[[#This Row],[_Row]])="",TRUE()),FALSE(),INDEX(tsk_IsSummary,GanttView[[#This Row],[_Row]]))</f>
        <v>0</v>
      </c>
      <c r="N38" s="122" t="b">
        <f aca="false">IF(IFERROR(INDEX(tsk_Name,GanttView[[#This Row],[_Row]])="",TRUE()),FALSE(),AND(INDEX(tsk_IsLeaf,GanttView[[#This Row],[_Row]])=1,N(INDEX(tsk_Duration,GanttView[[#This Row],[_Row]]))=0))</f>
        <v>0</v>
      </c>
      <c r="O38" s="123" t="n">
        <f aca="false">IF(IFERROR(INDEX(tsk_Name,GanttView[[#This Row],[_Row]])="",TRUE()),0,IF(AND(INDEX(tsk_IsLeaf,GanttView[[#This Row],[_Row]])=1,NOT(GanttView[[#This Row],[_IsMilestone]]),N(GanttView[[#This Row],[%]])&gt;0),GanttView[[#This Row],[Forecast Start]],0))</f>
        <v>0</v>
      </c>
      <c r="P38" s="123" t="n">
        <f aca="false">IF(GanttView[[#This Row],[_DoneFrom]]=0,0,IF(GanttView[[#This Row],[%]]&gt;=1,GanttView[[#This Row],[Forecast Finish]],MAX(GanttView[[#This Row],[_DoneFrom]],GanttView[[#This Row],[Forecast Start]]+ROUND((GanttView[[#This Row],[Forecast Finish]]-GanttView[[#This Row],[Forecast Start]]+1)*GanttView[[#This Row],[%]],0)-1)))</f>
        <v>0</v>
      </c>
      <c r="Q38" s="123" t="n">
        <f aca="false">IF(IFERROR(INDEX(tsk_Name,GanttView[[#This Row],[_Row]])="",TRUE()),0,IF(OR(INDEX(tsk_IsLeaf,GanttView[[#This Row],[_Row]])&lt;&gt;1,GanttView[[#This Row],[_IsMilestone]],N(GanttView[[#This Row],[%]])&gt;=1),0,IF(GanttView[[#This Row],[_DoneTo]]&gt;0,GanttView[[#This Row],[_DoneTo]]+1,GanttView[[#This Row],[Forecast Start]])))</f>
        <v>0</v>
      </c>
      <c r="R38" s="123" t="n">
        <f aca="false">IF(GanttView[[#This Row],[_RemFrom]]=0,0,GanttView[[#This Row],[Forecast Finish]])</f>
        <v>0</v>
      </c>
      <c r="S38" s="122" t="b">
        <f aca="false">IF(IFERROR(INDEX(tsk_Name,GanttView[[#This Row],[_Row]])="",TRUE()),FALSE(),N(INDEX(tsk_Variance,GanttView[[#This Row],[_Row]]))&gt;0)</f>
        <v>0</v>
      </c>
      <c r="T38" s="123" t="n">
        <f aca="false">IF(IFERROR(INDEX(tsk_Name,GanttView[[#This Row],[_Row]])="",TRUE()),0,N(INDEX(tsk_Deadline,GanttView[[#This Row],[_Row]])))</f>
        <v>0</v>
      </c>
      <c r="U38" s="122"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Row],[_Row]])="",TRUE()),"",INDEX(tsk_ResourceNames,GanttView[[#This Row],[_Row]])&amp;"")</f>
        <v/>
      </c>
      <c r="K39" s="117" t="str">
        <f aca="false">IF(IFERROR(INDEX(tsk_Name,GanttView[[#This Row],[_Row]])="",TRUE()),"",INDEX(tsk_Status,GanttView[[#This Row],[_Row]]))</f>
        <v/>
      </c>
      <c r="L39" s="121" t="n">
        <f aca="false">ROW()-ROW(GanttView[[#Headers],[ID]])</f>
        <v>34</v>
      </c>
      <c r="M39" s="122" t="b">
        <f aca="false">IF(IFERROR(INDEX(tsk_Name,GanttView[[#This Row],[_Row]])="",TRUE()),FALSE(),INDEX(tsk_IsSummary,GanttView[[#This Row],[_Row]]))</f>
        <v>0</v>
      </c>
      <c r="N39" s="122" t="b">
        <f aca="false">IF(IFERROR(INDEX(tsk_Name,GanttView[[#This Row],[_Row]])="",TRUE()),FALSE(),AND(INDEX(tsk_IsLeaf,GanttView[[#This Row],[_Row]])=1,N(INDEX(tsk_Duration,GanttView[[#This Row],[_Row]]))=0))</f>
        <v>0</v>
      </c>
      <c r="O39" s="123" t="n">
        <f aca="false">IF(IFERROR(INDEX(tsk_Name,GanttView[[#This Row],[_Row]])="",TRUE()),0,IF(AND(INDEX(tsk_IsLeaf,GanttView[[#This Row],[_Row]])=1,NOT(GanttView[[#This Row],[_IsMilestone]]),N(GanttView[[#This Row],[%]])&gt;0),GanttView[[#This Row],[Forecast Start]],0))</f>
        <v>0</v>
      </c>
      <c r="P39" s="123" t="n">
        <f aca="false">IF(GanttView[[#This Row],[_DoneFrom]]=0,0,IF(GanttView[[#This Row],[%]]&gt;=1,GanttView[[#This Row],[Forecast Finish]],MAX(GanttView[[#This Row],[_DoneFrom]],GanttView[[#This Row],[Forecast Start]]+ROUND((GanttView[[#This Row],[Forecast Finish]]-GanttView[[#This Row],[Forecast Start]]+1)*GanttView[[#This Row],[%]],0)-1)))</f>
        <v>0</v>
      </c>
      <c r="Q39" s="123" t="n">
        <f aca="false">IF(IFERROR(INDEX(tsk_Name,GanttView[[#This Row],[_Row]])="",TRUE()),0,IF(OR(INDEX(tsk_IsLeaf,GanttView[[#This Row],[_Row]])&lt;&gt;1,GanttView[[#This Row],[_IsMilestone]],N(GanttView[[#This Row],[%]])&gt;=1),0,IF(GanttView[[#This Row],[_DoneTo]]&gt;0,GanttView[[#This Row],[_DoneTo]]+1,GanttView[[#This Row],[Forecast Start]])))</f>
        <v>0</v>
      </c>
      <c r="R39" s="123" t="n">
        <f aca="false">IF(GanttView[[#This Row],[_RemFrom]]=0,0,GanttView[[#This Row],[Forecast Finish]])</f>
        <v>0</v>
      </c>
      <c r="S39" s="122" t="b">
        <f aca="false">IF(IFERROR(INDEX(tsk_Name,GanttView[[#This Row],[_Row]])="",TRUE()),FALSE(),N(INDEX(tsk_Variance,GanttView[[#This Row],[_Row]]))&gt;0)</f>
        <v>0</v>
      </c>
      <c r="T39" s="123" t="n">
        <f aca="false">IF(IFERROR(INDEX(tsk_Name,GanttView[[#This Row],[_Row]])="",TRUE()),0,N(INDEX(tsk_Deadline,GanttView[[#This Row],[_Row]])))</f>
        <v>0</v>
      </c>
      <c r="U39" s="122"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Row],[_Row]])="",TRUE()),"",INDEX(tsk_ResourceNames,GanttView[[#This Row],[_Row]])&amp;"")</f>
        <v/>
      </c>
      <c r="K40" s="117" t="str">
        <f aca="false">IF(IFERROR(INDEX(tsk_Name,GanttView[[#This Row],[_Row]])="",TRUE()),"",INDEX(tsk_Status,GanttView[[#This Row],[_Row]]))</f>
        <v/>
      </c>
      <c r="L40" s="121" t="n">
        <f aca="false">ROW()-ROW(GanttView[[#Headers],[ID]])</f>
        <v>35</v>
      </c>
      <c r="M40" s="122" t="b">
        <f aca="false">IF(IFERROR(INDEX(tsk_Name,GanttView[[#This Row],[_Row]])="",TRUE()),FALSE(),INDEX(tsk_IsSummary,GanttView[[#This Row],[_Row]]))</f>
        <v>0</v>
      </c>
      <c r="N40" s="122" t="b">
        <f aca="false">IF(IFERROR(INDEX(tsk_Name,GanttView[[#This Row],[_Row]])="",TRUE()),FALSE(),AND(INDEX(tsk_IsLeaf,GanttView[[#This Row],[_Row]])=1,N(INDEX(tsk_Duration,GanttView[[#This Row],[_Row]]))=0))</f>
        <v>0</v>
      </c>
      <c r="O40" s="123" t="n">
        <f aca="false">IF(IFERROR(INDEX(tsk_Name,GanttView[[#This Row],[_Row]])="",TRUE()),0,IF(AND(INDEX(tsk_IsLeaf,GanttView[[#This Row],[_Row]])=1,NOT(GanttView[[#This Row],[_IsMilestone]]),N(GanttView[[#This Row],[%]])&gt;0),GanttView[[#This Row],[Forecast Start]],0))</f>
        <v>0</v>
      </c>
      <c r="P40" s="123" t="n">
        <f aca="false">IF(GanttView[[#This Row],[_DoneFrom]]=0,0,IF(GanttView[[#This Row],[%]]&gt;=1,GanttView[[#This Row],[Forecast Finish]],MAX(GanttView[[#This Row],[_DoneFrom]],GanttView[[#This Row],[Forecast Start]]+ROUND((GanttView[[#This Row],[Forecast Finish]]-GanttView[[#This Row],[Forecast Start]]+1)*GanttView[[#This Row],[%]],0)-1)))</f>
        <v>0</v>
      </c>
      <c r="Q40" s="123" t="n">
        <f aca="false">IF(IFERROR(INDEX(tsk_Name,GanttView[[#This Row],[_Row]])="",TRUE()),0,IF(OR(INDEX(tsk_IsLeaf,GanttView[[#This Row],[_Row]])&lt;&gt;1,GanttView[[#This Row],[_IsMilestone]],N(GanttView[[#This Row],[%]])&gt;=1),0,IF(GanttView[[#This Row],[_DoneTo]]&gt;0,GanttView[[#This Row],[_DoneTo]]+1,GanttView[[#This Row],[Forecast Start]])))</f>
        <v>0</v>
      </c>
      <c r="R40" s="123" t="n">
        <f aca="false">IF(GanttView[[#This Row],[_RemFrom]]=0,0,GanttView[[#This Row],[Forecast Finish]])</f>
        <v>0</v>
      </c>
      <c r="S40" s="122" t="b">
        <f aca="false">IF(IFERROR(INDEX(tsk_Name,GanttView[[#This Row],[_Row]])="",TRUE()),FALSE(),N(INDEX(tsk_Variance,GanttView[[#This Row],[_Row]]))&gt;0)</f>
        <v>0</v>
      </c>
      <c r="T40" s="123" t="n">
        <f aca="false">IF(IFERROR(INDEX(tsk_Name,GanttView[[#This Row],[_Row]])="",TRUE()),0,N(INDEX(tsk_Deadline,GanttView[[#This Row],[_Row]])))</f>
        <v>0</v>
      </c>
      <c r="U40" s="122"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Row],[_Row]])="",TRUE()),"",INDEX(tsk_ResourceNames,GanttView[[#This Row],[_Row]])&amp;"")</f>
        <v/>
      </c>
      <c r="K41" s="117" t="str">
        <f aca="false">IF(IFERROR(INDEX(tsk_Name,GanttView[[#This Row],[_Row]])="",TRUE()),"",INDEX(tsk_Status,GanttView[[#This Row],[_Row]]))</f>
        <v/>
      </c>
      <c r="L41" s="121" t="n">
        <f aca="false">ROW()-ROW(GanttView[[#Headers],[ID]])</f>
        <v>36</v>
      </c>
      <c r="M41" s="122" t="b">
        <f aca="false">IF(IFERROR(INDEX(tsk_Name,GanttView[[#This Row],[_Row]])="",TRUE()),FALSE(),INDEX(tsk_IsSummary,GanttView[[#This Row],[_Row]]))</f>
        <v>0</v>
      </c>
      <c r="N41" s="122" t="b">
        <f aca="false">IF(IFERROR(INDEX(tsk_Name,GanttView[[#This Row],[_Row]])="",TRUE()),FALSE(),AND(INDEX(tsk_IsLeaf,GanttView[[#This Row],[_Row]])=1,N(INDEX(tsk_Duration,GanttView[[#This Row],[_Row]]))=0))</f>
        <v>0</v>
      </c>
      <c r="O41" s="123" t="n">
        <f aca="false">IF(IFERROR(INDEX(tsk_Name,GanttView[[#This Row],[_Row]])="",TRUE()),0,IF(AND(INDEX(tsk_IsLeaf,GanttView[[#This Row],[_Row]])=1,NOT(GanttView[[#This Row],[_IsMilestone]]),N(GanttView[[#This Row],[%]])&gt;0),GanttView[[#This Row],[Forecast Start]],0))</f>
        <v>0</v>
      </c>
      <c r="P41" s="123" t="n">
        <f aca="false">IF(GanttView[[#This Row],[_DoneFrom]]=0,0,IF(GanttView[[#This Row],[%]]&gt;=1,GanttView[[#This Row],[Forecast Finish]],MAX(GanttView[[#This Row],[_DoneFrom]],GanttView[[#This Row],[Forecast Start]]+ROUND((GanttView[[#This Row],[Forecast Finish]]-GanttView[[#This Row],[Forecast Start]]+1)*GanttView[[#This Row],[%]],0)-1)))</f>
        <v>0</v>
      </c>
      <c r="Q41" s="123" t="n">
        <f aca="false">IF(IFERROR(INDEX(tsk_Name,GanttView[[#This Row],[_Row]])="",TRUE()),0,IF(OR(INDEX(tsk_IsLeaf,GanttView[[#This Row],[_Row]])&lt;&gt;1,GanttView[[#This Row],[_IsMilestone]],N(GanttView[[#This Row],[%]])&gt;=1),0,IF(GanttView[[#This Row],[_DoneTo]]&gt;0,GanttView[[#This Row],[_DoneTo]]+1,GanttView[[#This Row],[Forecast Start]])))</f>
        <v>0</v>
      </c>
      <c r="R41" s="123" t="n">
        <f aca="false">IF(GanttView[[#This Row],[_RemFrom]]=0,0,GanttView[[#This Row],[Forecast Finish]])</f>
        <v>0</v>
      </c>
      <c r="S41" s="122" t="b">
        <f aca="false">IF(IFERROR(INDEX(tsk_Name,GanttView[[#This Row],[_Row]])="",TRUE()),FALSE(),N(INDEX(tsk_Variance,GanttView[[#This Row],[_Row]]))&gt;0)</f>
        <v>0</v>
      </c>
      <c r="T41" s="123" t="n">
        <f aca="false">IF(IFERROR(INDEX(tsk_Name,GanttView[[#This Row],[_Row]])="",TRUE()),0,N(INDEX(tsk_Deadline,GanttView[[#This Row],[_Row]])))</f>
        <v>0</v>
      </c>
      <c r="U41" s="122"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Row],[_Row]])="",TRUE()),"",INDEX(tsk_ResourceNames,GanttView[[#This Row],[_Row]])&amp;"")</f>
        <v/>
      </c>
      <c r="K42" s="117" t="str">
        <f aca="false">IF(IFERROR(INDEX(tsk_Name,GanttView[[#This Row],[_Row]])="",TRUE()),"",INDEX(tsk_Status,GanttView[[#This Row],[_Row]]))</f>
        <v/>
      </c>
      <c r="L42" s="121" t="n">
        <f aca="false">ROW()-ROW(GanttView[[#Headers],[ID]])</f>
        <v>37</v>
      </c>
      <c r="M42" s="122" t="b">
        <f aca="false">IF(IFERROR(INDEX(tsk_Name,GanttView[[#This Row],[_Row]])="",TRUE()),FALSE(),INDEX(tsk_IsSummary,GanttView[[#This Row],[_Row]]))</f>
        <v>0</v>
      </c>
      <c r="N42" s="122" t="b">
        <f aca="false">IF(IFERROR(INDEX(tsk_Name,GanttView[[#This Row],[_Row]])="",TRUE()),FALSE(),AND(INDEX(tsk_IsLeaf,GanttView[[#This Row],[_Row]])=1,N(INDEX(tsk_Duration,GanttView[[#This Row],[_Row]]))=0))</f>
        <v>0</v>
      </c>
      <c r="O42" s="123" t="n">
        <f aca="false">IF(IFERROR(INDEX(tsk_Name,GanttView[[#This Row],[_Row]])="",TRUE()),0,IF(AND(INDEX(tsk_IsLeaf,GanttView[[#This Row],[_Row]])=1,NOT(GanttView[[#This Row],[_IsMilestone]]),N(GanttView[[#This Row],[%]])&gt;0),GanttView[[#This Row],[Forecast Start]],0))</f>
        <v>0</v>
      </c>
      <c r="P42" s="123" t="n">
        <f aca="false">IF(GanttView[[#This Row],[_DoneFrom]]=0,0,IF(GanttView[[#This Row],[%]]&gt;=1,GanttView[[#This Row],[Forecast Finish]],MAX(GanttView[[#This Row],[_DoneFrom]],GanttView[[#This Row],[Forecast Start]]+ROUND((GanttView[[#This Row],[Forecast Finish]]-GanttView[[#This Row],[Forecast Start]]+1)*GanttView[[#This Row],[%]],0)-1)))</f>
        <v>0</v>
      </c>
      <c r="Q42" s="123" t="n">
        <f aca="false">IF(IFERROR(INDEX(tsk_Name,GanttView[[#This Row],[_Row]])="",TRUE()),0,IF(OR(INDEX(tsk_IsLeaf,GanttView[[#This Row],[_Row]])&lt;&gt;1,GanttView[[#This Row],[_IsMilestone]],N(GanttView[[#This Row],[%]])&gt;=1),0,IF(GanttView[[#This Row],[_DoneTo]]&gt;0,GanttView[[#This Row],[_DoneTo]]+1,GanttView[[#This Row],[Forecast Start]])))</f>
        <v>0</v>
      </c>
      <c r="R42" s="123" t="n">
        <f aca="false">IF(GanttView[[#This Row],[_RemFrom]]=0,0,GanttView[[#This Row],[Forecast Finish]])</f>
        <v>0</v>
      </c>
      <c r="S42" s="122" t="b">
        <f aca="false">IF(IFERROR(INDEX(tsk_Name,GanttView[[#This Row],[_Row]])="",TRUE()),FALSE(),N(INDEX(tsk_Variance,GanttView[[#This Row],[_Row]]))&gt;0)</f>
        <v>0</v>
      </c>
      <c r="T42" s="123" t="n">
        <f aca="false">IF(IFERROR(INDEX(tsk_Name,GanttView[[#This Row],[_Row]])="",TRUE()),0,N(INDEX(tsk_Deadline,GanttView[[#This Row],[_Row]])))</f>
        <v>0</v>
      </c>
      <c r="U42" s="122"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Row],[_Row]])="",TRUE()),"",INDEX(tsk_ResourceNames,GanttView[[#This Row],[_Row]])&amp;"")</f>
        <v/>
      </c>
      <c r="K43" s="117" t="str">
        <f aca="false">IF(IFERROR(INDEX(tsk_Name,GanttView[[#This Row],[_Row]])="",TRUE()),"",INDEX(tsk_Status,GanttView[[#This Row],[_Row]]))</f>
        <v/>
      </c>
      <c r="L43" s="121" t="n">
        <f aca="false">ROW()-ROW(GanttView[[#Headers],[ID]])</f>
        <v>38</v>
      </c>
      <c r="M43" s="122" t="b">
        <f aca="false">IF(IFERROR(INDEX(tsk_Name,GanttView[[#This Row],[_Row]])="",TRUE()),FALSE(),INDEX(tsk_IsSummary,GanttView[[#This Row],[_Row]]))</f>
        <v>0</v>
      </c>
      <c r="N43" s="122" t="b">
        <f aca="false">IF(IFERROR(INDEX(tsk_Name,GanttView[[#This Row],[_Row]])="",TRUE()),FALSE(),AND(INDEX(tsk_IsLeaf,GanttView[[#This Row],[_Row]])=1,N(INDEX(tsk_Duration,GanttView[[#This Row],[_Row]]))=0))</f>
        <v>0</v>
      </c>
      <c r="O43" s="123" t="n">
        <f aca="false">IF(IFERROR(INDEX(tsk_Name,GanttView[[#This Row],[_Row]])="",TRUE()),0,IF(AND(INDEX(tsk_IsLeaf,GanttView[[#This Row],[_Row]])=1,NOT(GanttView[[#This Row],[_IsMilestone]]),N(GanttView[[#This Row],[%]])&gt;0),GanttView[[#This Row],[Forecast Start]],0))</f>
        <v>0</v>
      </c>
      <c r="P43" s="123" t="n">
        <f aca="false">IF(GanttView[[#This Row],[_DoneFrom]]=0,0,IF(GanttView[[#This Row],[%]]&gt;=1,GanttView[[#This Row],[Forecast Finish]],MAX(GanttView[[#This Row],[_DoneFrom]],GanttView[[#This Row],[Forecast Start]]+ROUND((GanttView[[#This Row],[Forecast Finish]]-GanttView[[#This Row],[Forecast Start]]+1)*GanttView[[#This Row],[%]],0)-1)))</f>
        <v>0</v>
      </c>
      <c r="Q43" s="123" t="n">
        <f aca="false">IF(IFERROR(INDEX(tsk_Name,GanttView[[#This Row],[_Row]])="",TRUE()),0,IF(OR(INDEX(tsk_IsLeaf,GanttView[[#This Row],[_Row]])&lt;&gt;1,GanttView[[#This Row],[_IsMilestone]],N(GanttView[[#This Row],[%]])&gt;=1),0,IF(GanttView[[#This Row],[_DoneTo]]&gt;0,GanttView[[#This Row],[_DoneTo]]+1,GanttView[[#This Row],[Forecast Start]])))</f>
        <v>0</v>
      </c>
      <c r="R43" s="123" t="n">
        <f aca="false">IF(GanttView[[#This Row],[_RemFrom]]=0,0,GanttView[[#This Row],[Forecast Finish]])</f>
        <v>0</v>
      </c>
      <c r="S43" s="122" t="b">
        <f aca="false">IF(IFERROR(INDEX(tsk_Name,GanttView[[#This Row],[_Row]])="",TRUE()),FALSE(),N(INDEX(tsk_Variance,GanttView[[#This Row],[_Row]]))&gt;0)</f>
        <v>0</v>
      </c>
      <c r="T43" s="123" t="n">
        <f aca="false">IF(IFERROR(INDEX(tsk_Name,GanttView[[#This Row],[_Row]])="",TRUE()),0,N(INDEX(tsk_Deadline,GanttView[[#This Row],[_Row]])))</f>
        <v>0</v>
      </c>
      <c r="U43" s="122"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Row],[_Row]])="",TRUE()),"",INDEX(tsk_ResourceNames,GanttView[[#This Row],[_Row]])&amp;"")</f>
        <v/>
      </c>
      <c r="K44" s="117" t="str">
        <f aca="false">IF(IFERROR(INDEX(tsk_Name,GanttView[[#This Row],[_Row]])="",TRUE()),"",INDEX(tsk_Status,GanttView[[#This Row],[_Row]]))</f>
        <v/>
      </c>
      <c r="L44" s="121" t="n">
        <f aca="false">ROW()-ROW(GanttView[[#Headers],[ID]])</f>
        <v>39</v>
      </c>
      <c r="M44" s="122" t="b">
        <f aca="false">IF(IFERROR(INDEX(tsk_Name,GanttView[[#This Row],[_Row]])="",TRUE()),FALSE(),INDEX(tsk_IsSummary,GanttView[[#This Row],[_Row]]))</f>
        <v>0</v>
      </c>
      <c r="N44" s="122" t="b">
        <f aca="false">IF(IFERROR(INDEX(tsk_Name,GanttView[[#This Row],[_Row]])="",TRUE()),FALSE(),AND(INDEX(tsk_IsLeaf,GanttView[[#This Row],[_Row]])=1,N(INDEX(tsk_Duration,GanttView[[#This Row],[_Row]]))=0))</f>
        <v>0</v>
      </c>
      <c r="O44" s="123" t="n">
        <f aca="false">IF(IFERROR(INDEX(tsk_Name,GanttView[[#This Row],[_Row]])="",TRUE()),0,IF(AND(INDEX(tsk_IsLeaf,GanttView[[#This Row],[_Row]])=1,NOT(GanttView[[#This Row],[_IsMilestone]]),N(GanttView[[#This Row],[%]])&gt;0),GanttView[[#This Row],[Forecast Start]],0))</f>
        <v>0</v>
      </c>
      <c r="P44" s="123" t="n">
        <f aca="false">IF(GanttView[[#This Row],[_DoneFrom]]=0,0,IF(GanttView[[#This Row],[%]]&gt;=1,GanttView[[#This Row],[Forecast Finish]],MAX(GanttView[[#This Row],[_DoneFrom]],GanttView[[#This Row],[Forecast Start]]+ROUND((GanttView[[#This Row],[Forecast Finish]]-GanttView[[#This Row],[Forecast Start]]+1)*GanttView[[#This Row],[%]],0)-1)))</f>
        <v>0</v>
      </c>
      <c r="Q44" s="123" t="n">
        <f aca="false">IF(IFERROR(INDEX(tsk_Name,GanttView[[#This Row],[_Row]])="",TRUE()),0,IF(OR(INDEX(tsk_IsLeaf,GanttView[[#This Row],[_Row]])&lt;&gt;1,GanttView[[#This Row],[_IsMilestone]],N(GanttView[[#This Row],[%]])&gt;=1),0,IF(GanttView[[#This Row],[_DoneTo]]&gt;0,GanttView[[#This Row],[_DoneTo]]+1,GanttView[[#This Row],[Forecast Start]])))</f>
        <v>0</v>
      </c>
      <c r="R44" s="123" t="n">
        <f aca="false">IF(GanttView[[#This Row],[_RemFrom]]=0,0,GanttView[[#This Row],[Forecast Finish]])</f>
        <v>0</v>
      </c>
      <c r="S44" s="122" t="b">
        <f aca="false">IF(IFERROR(INDEX(tsk_Name,GanttView[[#This Row],[_Row]])="",TRUE()),FALSE(),N(INDEX(tsk_Variance,GanttView[[#This Row],[_Row]]))&gt;0)</f>
        <v>0</v>
      </c>
      <c r="T44" s="123" t="n">
        <f aca="false">IF(IFERROR(INDEX(tsk_Name,GanttView[[#This Row],[_Row]])="",TRUE()),0,N(INDEX(tsk_Deadline,GanttView[[#This Row],[_Row]])))</f>
        <v>0</v>
      </c>
      <c r="U44" s="122"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Row],[_Row]])="",TRUE()),"",INDEX(tsk_ResourceNames,GanttView[[#This Row],[_Row]])&amp;"")</f>
        <v/>
      </c>
      <c r="K45" s="117" t="str">
        <f aca="false">IF(IFERROR(INDEX(tsk_Name,GanttView[[#This Row],[_Row]])="",TRUE()),"",INDEX(tsk_Status,GanttView[[#This Row],[_Row]]))</f>
        <v/>
      </c>
      <c r="L45" s="121" t="n">
        <f aca="false">ROW()-ROW(GanttView[[#Headers],[ID]])</f>
        <v>40</v>
      </c>
      <c r="M45" s="122" t="b">
        <f aca="false">IF(IFERROR(INDEX(tsk_Name,GanttView[[#This Row],[_Row]])="",TRUE()),FALSE(),INDEX(tsk_IsSummary,GanttView[[#This Row],[_Row]]))</f>
        <v>0</v>
      </c>
      <c r="N45" s="122" t="b">
        <f aca="false">IF(IFERROR(INDEX(tsk_Name,GanttView[[#This Row],[_Row]])="",TRUE()),FALSE(),AND(INDEX(tsk_IsLeaf,GanttView[[#This Row],[_Row]])=1,N(INDEX(tsk_Duration,GanttView[[#This Row],[_Row]]))=0))</f>
        <v>0</v>
      </c>
      <c r="O45" s="123" t="n">
        <f aca="false">IF(IFERROR(INDEX(tsk_Name,GanttView[[#This Row],[_Row]])="",TRUE()),0,IF(AND(INDEX(tsk_IsLeaf,GanttView[[#This Row],[_Row]])=1,NOT(GanttView[[#This Row],[_IsMilestone]]),N(GanttView[[#This Row],[%]])&gt;0),GanttView[[#This Row],[Forecast Start]],0))</f>
        <v>0</v>
      </c>
      <c r="P45" s="123" t="n">
        <f aca="false">IF(GanttView[[#This Row],[_DoneFrom]]=0,0,IF(GanttView[[#This Row],[%]]&gt;=1,GanttView[[#This Row],[Forecast Finish]],MAX(GanttView[[#This Row],[_DoneFrom]],GanttView[[#This Row],[Forecast Start]]+ROUND((GanttView[[#This Row],[Forecast Finish]]-GanttView[[#This Row],[Forecast Start]]+1)*GanttView[[#This Row],[%]],0)-1)))</f>
        <v>0</v>
      </c>
      <c r="Q45" s="123" t="n">
        <f aca="false">IF(IFERROR(INDEX(tsk_Name,GanttView[[#This Row],[_Row]])="",TRUE()),0,IF(OR(INDEX(tsk_IsLeaf,GanttView[[#This Row],[_Row]])&lt;&gt;1,GanttView[[#This Row],[_IsMilestone]],N(GanttView[[#This Row],[%]])&gt;=1),0,IF(GanttView[[#This Row],[_DoneTo]]&gt;0,GanttView[[#This Row],[_DoneTo]]+1,GanttView[[#This Row],[Forecast Start]])))</f>
        <v>0</v>
      </c>
      <c r="R45" s="123" t="n">
        <f aca="false">IF(GanttView[[#This Row],[_RemFrom]]=0,0,GanttView[[#This Row],[Forecast Finish]])</f>
        <v>0</v>
      </c>
      <c r="S45" s="122" t="b">
        <f aca="false">IF(IFERROR(INDEX(tsk_Name,GanttView[[#This Row],[_Row]])="",TRUE()),FALSE(),N(INDEX(tsk_Variance,GanttView[[#This Row],[_Row]]))&gt;0)</f>
        <v>0</v>
      </c>
      <c r="T45" s="123" t="n">
        <f aca="false">IF(IFERROR(INDEX(tsk_Name,GanttView[[#This Row],[_Row]])="",TRUE()),0,N(INDEX(tsk_Deadline,GanttView[[#This Row],[_Row]])))</f>
        <v>0</v>
      </c>
      <c r="U45" s="122"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Row],[_Row]])="",TRUE()),"",INDEX(tsk_ResourceNames,GanttView[[#This Row],[_Row]])&amp;"")</f>
        <v/>
      </c>
      <c r="K46" s="117" t="str">
        <f aca="false">IF(IFERROR(INDEX(tsk_Name,GanttView[[#This Row],[_Row]])="",TRUE()),"",INDEX(tsk_Status,GanttView[[#This Row],[_Row]]))</f>
        <v/>
      </c>
      <c r="L46" s="121" t="n">
        <f aca="false">ROW()-ROW(GanttView[[#Headers],[ID]])</f>
        <v>41</v>
      </c>
      <c r="M46" s="122" t="b">
        <f aca="false">IF(IFERROR(INDEX(tsk_Name,GanttView[[#This Row],[_Row]])="",TRUE()),FALSE(),INDEX(tsk_IsSummary,GanttView[[#This Row],[_Row]]))</f>
        <v>0</v>
      </c>
      <c r="N46" s="122" t="b">
        <f aca="false">IF(IFERROR(INDEX(tsk_Name,GanttView[[#This Row],[_Row]])="",TRUE()),FALSE(),AND(INDEX(tsk_IsLeaf,GanttView[[#This Row],[_Row]])=1,N(INDEX(tsk_Duration,GanttView[[#This Row],[_Row]]))=0))</f>
        <v>0</v>
      </c>
      <c r="O46" s="123" t="n">
        <f aca="false">IF(IFERROR(INDEX(tsk_Name,GanttView[[#This Row],[_Row]])="",TRUE()),0,IF(AND(INDEX(tsk_IsLeaf,GanttView[[#This Row],[_Row]])=1,NOT(GanttView[[#This Row],[_IsMilestone]]),N(GanttView[[#This Row],[%]])&gt;0),GanttView[[#This Row],[Forecast Start]],0))</f>
        <v>0</v>
      </c>
      <c r="P46" s="123" t="n">
        <f aca="false">IF(GanttView[[#This Row],[_DoneFrom]]=0,0,IF(GanttView[[#This Row],[%]]&gt;=1,GanttView[[#This Row],[Forecast Finish]],MAX(GanttView[[#This Row],[_DoneFrom]],GanttView[[#This Row],[Forecast Start]]+ROUND((GanttView[[#This Row],[Forecast Finish]]-GanttView[[#This Row],[Forecast Start]]+1)*GanttView[[#This Row],[%]],0)-1)))</f>
        <v>0</v>
      </c>
      <c r="Q46" s="123" t="n">
        <f aca="false">IF(IFERROR(INDEX(tsk_Name,GanttView[[#This Row],[_Row]])="",TRUE()),0,IF(OR(INDEX(tsk_IsLeaf,GanttView[[#This Row],[_Row]])&lt;&gt;1,GanttView[[#This Row],[_IsMilestone]],N(GanttView[[#This Row],[%]])&gt;=1),0,IF(GanttView[[#This Row],[_DoneTo]]&gt;0,GanttView[[#This Row],[_DoneTo]]+1,GanttView[[#This Row],[Forecast Start]])))</f>
        <v>0</v>
      </c>
      <c r="R46" s="123" t="n">
        <f aca="false">IF(GanttView[[#This Row],[_RemFrom]]=0,0,GanttView[[#This Row],[Forecast Finish]])</f>
        <v>0</v>
      </c>
      <c r="S46" s="122" t="b">
        <f aca="false">IF(IFERROR(INDEX(tsk_Name,GanttView[[#This Row],[_Row]])="",TRUE()),FALSE(),N(INDEX(tsk_Variance,GanttView[[#This Row],[_Row]]))&gt;0)</f>
        <v>0</v>
      </c>
      <c r="T46" s="123" t="n">
        <f aca="false">IF(IFERROR(INDEX(tsk_Name,GanttView[[#This Row],[_Row]])="",TRUE()),0,N(INDEX(tsk_Deadline,GanttView[[#This Row],[_Row]])))</f>
        <v>0</v>
      </c>
      <c r="U46" s="122"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Row],[_Row]])="",TRUE()),"",INDEX(tsk_ResourceNames,GanttView[[#This Row],[_Row]])&amp;"")</f>
        <v/>
      </c>
      <c r="K47" s="117" t="str">
        <f aca="false">IF(IFERROR(INDEX(tsk_Name,GanttView[[#This Row],[_Row]])="",TRUE()),"",INDEX(tsk_Status,GanttView[[#This Row],[_Row]]))</f>
        <v/>
      </c>
      <c r="L47" s="121" t="n">
        <f aca="false">ROW()-ROW(GanttView[[#Headers],[ID]])</f>
        <v>42</v>
      </c>
      <c r="M47" s="122" t="b">
        <f aca="false">IF(IFERROR(INDEX(tsk_Name,GanttView[[#This Row],[_Row]])="",TRUE()),FALSE(),INDEX(tsk_IsSummary,GanttView[[#This Row],[_Row]]))</f>
        <v>0</v>
      </c>
      <c r="N47" s="122" t="b">
        <f aca="false">IF(IFERROR(INDEX(tsk_Name,GanttView[[#This Row],[_Row]])="",TRUE()),FALSE(),AND(INDEX(tsk_IsLeaf,GanttView[[#This Row],[_Row]])=1,N(INDEX(tsk_Duration,GanttView[[#This Row],[_Row]]))=0))</f>
        <v>0</v>
      </c>
      <c r="O47" s="123" t="n">
        <f aca="false">IF(IFERROR(INDEX(tsk_Name,GanttView[[#This Row],[_Row]])="",TRUE()),0,IF(AND(INDEX(tsk_IsLeaf,GanttView[[#This Row],[_Row]])=1,NOT(GanttView[[#This Row],[_IsMilestone]]),N(GanttView[[#This Row],[%]])&gt;0),GanttView[[#This Row],[Forecast Start]],0))</f>
        <v>0</v>
      </c>
      <c r="P47" s="123" t="n">
        <f aca="false">IF(GanttView[[#This Row],[_DoneFrom]]=0,0,IF(GanttView[[#This Row],[%]]&gt;=1,GanttView[[#This Row],[Forecast Finish]],MAX(GanttView[[#This Row],[_DoneFrom]],GanttView[[#This Row],[Forecast Start]]+ROUND((GanttView[[#This Row],[Forecast Finish]]-GanttView[[#This Row],[Forecast Start]]+1)*GanttView[[#This Row],[%]],0)-1)))</f>
        <v>0</v>
      </c>
      <c r="Q47" s="123" t="n">
        <f aca="false">IF(IFERROR(INDEX(tsk_Name,GanttView[[#This Row],[_Row]])="",TRUE()),0,IF(OR(INDEX(tsk_IsLeaf,GanttView[[#This Row],[_Row]])&lt;&gt;1,GanttView[[#This Row],[_IsMilestone]],N(GanttView[[#This Row],[%]])&gt;=1),0,IF(GanttView[[#This Row],[_DoneTo]]&gt;0,GanttView[[#This Row],[_DoneTo]]+1,GanttView[[#This Row],[Forecast Start]])))</f>
        <v>0</v>
      </c>
      <c r="R47" s="123" t="n">
        <f aca="false">IF(GanttView[[#This Row],[_RemFrom]]=0,0,GanttView[[#This Row],[Forecast Finish]])</f>
        <v>0</v>
      </c>
      <c r="S47" s="122" t="b">
        <f aca="false">IF(IFERROR(INDEX(tsk_Name,GanttView[[#This Row],[_Row]])="",TRUE()),FALSE(),N(INDEX(tsk_Variance,GanttView[[#This Row],[_Row]]))&gt;0)</f>
        <v>0</v>
      </c>
      <c r="T47" s="123" t="n">
        <f aca="false">IF(IFERROR(INDEX(tsk_Name,GanttView[[#This Row],[_Row]])="",TRUE()),0,N(INDEX(tsk_Deadline,GanttView[[#This Row],[_Row]])))</f>
        <v>0</v>
      </c>
      <c r="U47" s="122"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Row],[_Row]])="",TRUE()),"",INDEX(tsk_ResourceNames,GanttView[[#This Row],[_Row]])&amp;"")</f>
        <v/>
      </c>
      <c r="K48" s="117" t="str">
        <f aca="false">IF(IFERROR(INDEX(tsk_Name,GanttView[[#This Row],[_Row]])="",TRUE()),"",INDEX(tsk_Status,GanttView[[#This Row],[_Row]]))</f>
        <v/>
      </c>
      <c r="L48" s="121" t="n">
        <f aca="false">ROW()-ROW(GanttView[[#Headers],[ID]])</f>
        <v>43</v>
      </c>
      <c r="M48" s="122" t="b">
        <f aca="false">IF(IFERROR(INDEX(tsk_Name,GanttView[[#This Row],[_Row]])="",TRUE()),FALSE(),INDEX(tsk_IsSummary,GanttView[[#This Row],[_Row]]))</f>
        <v>0</v>
      </c>
      <c r="N48" s="122" t="b">
        <f aca="false">IF(IFERROR(INDEX(tsk_Name,GanttView[[#This Row],[_Row]])="",TRUE()),FALSE(),AND(INDEX(tsk_IsLeaf,GanttView[[#This Row],[_Row]])=1,N(INDEX(tsk_Duration,GanttView[[#This Row],[_Row]]))=0))</f>
        <v>0</v>
      </c>
      <c r="O48" s="123" t="n">
        <f aca="false">IF(IFERROR(INDEX(tsk_Name,GanttView[[#This Row],[_Row]])="",TRUE()),0,IF(AND(INDEX(tsk_IsLeaf,GanttView[[#This Row],[_Row]])=1,NOT(GanttView[[#This Row],[_IsMilestone]]),N(GanttView[[#This Row],[%]])&gt;0),GanttView[[#This Row],[Forecast Start]],0))</f>
        <v>0</v>
      </c>
      <c r="P48" s="123" t="n">
        <f aca="false">IF(GanttView[[#This Row],[_DoneFrom]]=0,0,IF(GanttView[[#This Row],[%]]&gt;=1,GanttView[[#This Row],[Forecast Finish]],MAX(GanttView[[#This Row],[_DoneFrom]],GanttView[[#This Row],[Forecast Start]]+ROUND((GanttView[[#This Row],[Forecast Finish]]-GanttView[[#This Row],[Forecast Start]]+1)*GanttView[[#This Row],[%]],0)-1)))</f>
        <v>0</v>
      </c>
      <c r="Q48" s="123" t="n">
        <f aca="false">IF(IFERROR(INDEX(tsk_Name,GanttView[[#This Row],[_Row]])="",TRUE()),0,IF(OR(INDEX(tsk_IsLeaf,GanttView[[#This Row],[_Row]])&lt;&gt;1,GanttView[[#This Row],[_IsMilestone]],N(GanttView[[#This Row],[%]])&gt;=1),0,IF(GanttView[[#This Row],[_DoneTo]]&gt;0,GanttView[[#This Row],[_DoneTo]]+1,GanttView[[#This Row],[Forecast Start]])))</f>
        <v>0</v>
      </c>
      <c r="R48" s="123" t="n">
        <f aca="false">IF(GanttView[[#This Row],[_RemFrom]]=0,0,GanttView[[#This Row],[Forecast Finish]])</f>
        <v>0</v>
      </c>
      <c r="S48" s="122" t="b">
        <f aca="false">IF(IFERROR(INDEX(tsk_Name,GanttView[[#This Row],[_Row]])="",TRUE()),FALSE(),N(INDEX(tsk_Variance,GanttView[[#This Row],[_Row]]))&gt;0)</f>
        <v>0</v>
      </c>
      <c r="T48" s="123" t="n">
        <f aca="false">IF(IFERROR(INDEX(tsk_Name,GanttView[[#This Row],[_Row]])="",TRUE()),0,N(INDEX(tsk_Deadline,GanttView[[#This Row],[_Row]])))</f>
        <v>0</v>
      </c>
      <c r="U48" s="122"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Row],[_Row]])="",TRUE()),"",INDEX(tsk_ResourceNames,GanttView[[#This Row],[_Row]])&amp;"")</f>
        <v/>
      </c>
      <c r="K49" s="117" t="str">
        <f aca="false">IF(IFERROR(INDEX(tsk_Name,GanttView[[#This Row],[_Row]])="",TRUE()),"",INDEX(tsk_Status,GanttView[[#This Row],[_Row]]))</f>
        <v/>
      </c>
      <c r="L49" s="121" t="n">
        <f aca="false">ROW()-ROW(GanttView[[#Headers],[ID]])</f>
        <v>44</v>
      </c>
      <c r="M49" s="122" t="b">
        <f aca="false">IF(IFERROR(INDEX(tsk_Name,GanttView[[#This Row],[_Row]])="",TRUE()),FALSE(),INDEX(tsk_IsSummary,GanttView[[#This Row],[_Row]]))</f>
        <v>0</v>
      </c>
      <c r="N49" s="122" t="b">
        <f aca="false">IF(IFERROR(INDEX(tsk_Name,GanttView[[#This Row],[_Row]])="",TRUE()),FALSE(),AND(INDEX(tsk_IsLeaf,GanttView[[#This Row],[_Row]])=1,N(INDEX(tsk_Duration,GanttView[[#This Row],[_Row]]))=0))</f>
        <v>0</v>
      </c>
      <c r="O49" s="123" t="n">
        <f aca="false">IF(IFERROR(INDEX(tsk_Name,GanttView[[#This Row],[_Row]])="",TRUE()),0,IF(AND(INDEX(tsk_IsLeaf,GanttView[[#This Row],[_Row]])=1,NOT(GanttView[[#This Row],[_IsMilestone]]),N(GanttView[[#This Row],[%]])&gt;0),GanttView[[#This Row],[Forecast Start]],0))</f>
        <v>0</v>
      </c>
      <c r="P49" s="123" t="n">
        <f aca="false">IF(GanttView[[#This Row],[_DoneFrom]]=0,0,IF(GanttView[[#This Row],[%]]&gt;=1,GanttView[[#This Row],[Forecast Finish]],MAX(GanttView[[#This Row],[_DoneFrom]],GanttView[[#This Row],[Forecast Start]]+ROUND((GanttView[[#This Row],[Forecast Finish]]-GanttView[[#This Row],[Forecast Start]]+1)*GanttView[[#This Row],[%]],0)-1)))</f>
        <v>0</v>
      </c>
      <c r="Q49" s="123" t="n">
        <f aca="false">IF(IFERROR(INDEX(tsk_Name,GanttView[[#This Row],[_Row]])="",TRUE()),0,IF(OR(INDEX(tsk_IsLeaf,GanttView[[#This Row],[_Row]])&lt;&gt;1,GanttView[[#This Row],[_IsMilestone]],N(GanttView[[#This Row],[%]])&gt;=1),0,IF(GanttView[[#This Row],[_DoneTo]]&gt;0,GanttView[[#This Row],[_DoneTo]]+1,GanttView[[#This Row],[Forecast Start]])))</f>
        <v>0</v>
      </c>
      <c r="R49" s="123" t="n">
        <f aca="false">IF(GanttView[[#This Row],[_RemFrom]]=0,0,GanttView[[#This Row],[Forecast Finish]])</f>
        <v>0</v>
      </c>
      <c r="S49" s="122" t="b">
        <f aca="false">IF(IFERROR(INDEX(tsk_Name,GanttView[[#This Row],[_Row]])="",TRUE()),FALSE(),N(INDEX(tsk_Variance,GanttView[[#This Row],[_Row]]))&gt;0)</f>
        <v>0</v>
      </c>
      <c r="T49" s="123" t="n">
        <f aca="false">IF(IFERROR(INDEX(tsk_Name,GanttView[[#This Row],[_Row]])="",TRUE()),0,N(INDEX(tsk_Deadline,GanttView[[#This Row],[_Row]])))</f>
        <v>0</v>
      </c>
      <c r="U49" s="122"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Row],[_Row]])="",TRUE()),"",INDEX(tsk_ResourceNames,GanttView[[#This Row],[_Row]])&amp;"")</f>
        <v/>
      </c>
      <c r="K50" s="117" t="str">
        <f aca="false">IF(IFERROR(INDEX(tsk_Name,GanttView[[#This Row],[_Row]])="",TRUE()),"",INDEX(tsk_Status,GanttView[[#This Row],[_Row]]))</f>
        <v/>
      </c>
      <c r="L50" s="121" t="n">
        <f aca="false">ROW()-ROW(GanttView[[#Headers],[ID]])</f>
        <v>45</v>
      </c>
      <c r="M50" s="122" t="b">
        <f aca="false">IF(IFERROR(INDEX(tsk_Name,GanttView[[#This Row],[_Row]])="",TRUE()),FALSE(),INDEX(tsk_IsSummary,GanttView[[#This Row],[_Row]]))</f>
        <v>0</v>
      </c>
      <c r="N50" s="122" t="b">
        <f aca="false">IF(IFERROR(INDEX(tsk_Name,GanttView[[#This Row],[_Row]])="",TRUE()),FALSE(),AND(INDEX(tsk_IsLeaf,GanttView[[#This Row],[_Row]])=1,N(INDEX(tsk_Duration,GanttView[[#This Row],[_Row]]))=0))</f>
        <v>0</v>
      </c>
      <c r="O50" s="123" t="n">
        <f aca="false">IF(IFERROR(INDEX(tsk_Name,GanttView[[#This Row],[_Row]])="",TRUE()),0,IF(AND(INDEX(tsk_IsLeaf,GanttView[[#This Row],[_Row]])=1,NOT(GanttView[[#This Row],[_IsMilestone]]),N(GanttView[[#This Row],[%]])&gt;0),GanttView[[#This Row],[Forecast Start]],0))</f>
        <v>0</v>
      </c>
      <c r="P50" s="123" t="n">
        <f aca="false">IF(GanttView[[#This Row],[_DoneFrom]]=0,0,IF(GanttView[[#This Row],[%]]&gt;=1,GanttView[[#This Row],[Forecast Finish]],MAX(GanttView[[#This Row],[_DoneFrom]],GanttView[[#This Row],[Forecast Start]]+ROUND((GanttView[[#This Row],[Forecast Finish]]-GanttView[[#This Row],[Forecast Start]]+1)*GanttView[[#This Row],[%]],0)-1)))</f>
        <v>0</v>
      </c>
      <c r="Q50" s="123" t="n">
        <f aca="false">IF(IFERROR(INDEX(tsk_Name,GanttView[[#This Row],[_Row]])="",TRUE()),0,IF(OR(INDEX(tsk_IsLeaf,GanttView[[#This Row],[_Row]])&lt;&gt;1,GanttView[[#This Row],[_IsMilestone]],N(GanttView[[#This Row],[%]])&gt;=1),0,IF(GanttView[[#This Row],[_DoneTo]]&gt;0,GanttView[[#This Row],[_DoneTo]]+1,GanttView[[#This Row],[Forecast Start]])))</f>
        <v>0</v>
      </c>
      <c r="R50" s="123" t="n">
        <f aca="false">IF(GanttView[[#This Row],[_RemFrom]]=0,0,GanttView[[#This Row],[Forecast Finish]])</f>
        <v>0</v>
      </c>
      <c r="S50" s="122" t="b">
        <f aca="false">IF(IFERROR(INDEX(tsk_Name,GanttView[[#This Row],[_Row]])="",TRUE()),FALSE(),N(INDEX(tsk_Variance,GanttView[[#This Row],[_Row]]))&gt;0)</f>
        <v>0</v>
      </c>
      <c r="T50" s="123" t="n">
        <f aca="false">IF(IFERROR(INDEX(tsk_Name,GanttView[[#This Row],[_Row]])="",TRUE()),0,N(INDEX(tsk_Deadline,GanttView[[#This Row],[_Row]])))</f>
        <v>0</v>
      </c>
      <c r="U50" s="122"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Row],[_Row]])="",TRUE()),"",INDEX(tsk_ResourceNames,GanttView[[#This Row],[_Row]])&amp;"")</f>
        <v/>
      </c>
      <c r="K51" s="117" t="str">
        <f aca="false">IF(IFERROR(INDEX(tsk_Name,GanttView[[#This Row],[_Row]])="",TRUE()),"",INDEX(tsk_Status,GanttView[[#This Row],[_Row]]))</f>
        <v/>
      </c>
      <c r="L51" s="121" t="n">
        <f aca="false">ROW()-ROW(GanttView[[#Headers],[ID]])</f>
        <v>46</v>
      </c>
      <c r="M51" s="122" t="b">
        <f aca="false">IF(IFERROR(INDEX(tsk_Name,GanttView[[#This Row],[_Row]])="",TRUE()),FALSE(),INDEX(tsk_IsSummary,GanttView[[#This Row],[_Row]]))</f>
        <v>0</v>
      </c>
      <c r="N51" s="122" t="b">
        <f aca="false">IF(IFERROR(INDEX(tsk_Name,GanttView[[#This Row],[_Row]])="",TRUE()),FALSE(),AND(INDEX(tsk_IsLeaf,GanttView[[#This Row],[_Row]])=1,N(INDEX(tsk_Duration,GanttView[[#This Row],[_Row]]))=0))</f>
        <v>0</v>
      </c>
      <c r="O51" s="123" t="n">
        <f aca="false">IF(IFERROR(INDEX(tsk_Name,GanttView[[#This Row],[_Row]])="",TRUE()),0,IF(AND(INDEX(tsk_IsLeaf,GanttView[[#This Row],[_Row]])=1,NOT(GanttView[[#This Row],[_IsMilestone]]),N(GanttView[[#This Row],[%]])&gt;0),GanttView[[#This Row],[Forecast Start]],0))</f>
        <v>0</v>
      </c>
      <c r="P51" s="123" t="n">
        <f aca="false">IF(GanttView[[#This Row],[_DoneFrom]]=0,0,IF(GanttView[[#This Row],[%]]&gt;=1,GanttView[[#This Row],[Forecast Finish]],MAX(GanttView[[#This Row],[_DoneFrom]],GanttView[[#This Row],[Forecast Start]]+ROUND((GanttView[[#This Row],[Forecast Finish]]-GanttView[[#This Row],[Forecast Start]]+1)*GanttView[[#This Row],[%]],0)-1)))</f>
        <v>0</v>
      </c>
      <c r="Q51" s="123" t="n">
        <f aca="false">IF(IFERROR(INDEX(tsk_Name,GanttView[[#This Row],[_Row]])="",TRUE()),0,IF(OR(INDEX(tsk_IsLeaf,GanttView[[#This Row],[_Row]])&lt;&gt;1,GanttView[[#This Row],[_IsMilestone]],N(GanttView[[#This Row],[%]])&gt;=1),0,IF(GanttView[[#This Row],[_DoneTo]]&gt;0,GanttView[[#This Row],[_DoneTo]]+1,GanttView[[#This Row],[Forecast Start]])))</f>
        <v>0</v>
      </c>
      <c r="R51" s="123" t="n">
        <f aca="false">IF(GanttView[[#This Row],[_RemFrom]]=0,0,GanttView[[#This Row],[Forecast Finish]])</f>
        <v>0</v>
      </c>
      <c r="S51" s="122" t="b">
        <f aca="false">IF(IFERROR(INDEX(tsk_Name,GanttView[[#This Row],[_Row]])="",TRUE()),FALSE(),N(INDEX(tsk_Variance,GanttView[[#This Row],[_Row]]))&gt;0)</f>
        <v>0</v>
      </c>
      <c r="T51" s="123" t="n">
        <f aca="false">IF(IFERROR(INDEX(tsk_Name,GanttView[[#This Row],[_Row]])="",TRUE()),0,N(INDEX(tsk_Deadline,GanttView[[#This Row],[_Row]])))</f>
        <v>0</v>
      </c>
      <c r="U51" s="122"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Row],[_Row]])="",TRUE()),"",INDEX(tsk_ResourceNames,GanttView[[#This Row],[_Row]])&amp;"")</f>
        <v/>
      </c>
      <c r="K52" s="117" t="str">
        <f aca="false">IF(IFERROR(INDEX(tsk_Name,GanttView[[#This Row],[_Row]])="",TRUE()),"",INDEX(tsk_Status,GanttView[[#This Row],[_Row]]))</f>
        <v/>
      </c>
      <c r="L52" s="121" t="n">
        <f aca="false">ROW()-ROW(GanttView[[#Headers],[ID]])</f>
        <v>47</v>
      </c>
      <c r="M52" s="122" t="b">
        <f aca="false">IF(IFERROR(INDEX(tsk_Name,GanttView[[#This Row],[_Row]])="",TRUE()),FALSE(),INDEX(tsk_IsSummary,GanttView[[#This Row],[_Row]]))</f>
        <v>0</v>
      </c>
      <c r="N52" s="122" t="b">
        <f aca="false">IF(IFERROR(INDEX(tsk_Name,GanttView[[#This Row],[_Row]])="",TRUE()),FALSE(),AND(INDEX(tsk_IsLeaf,GanttView[[#This Row],[_Row]])=1,N(INDEX(tsk_Duration,GanttView[[#This Row],[_Row]]))=0))</f>
        <v>0</v>
      </c>
      <c r="O52" s="123" t="n">
        <f aca="false">IF(IFERROR(INDEX(tsk_Name,GanttView[[#This Row],[_Row]])="",TRUE()),0,IF(AND(INDEX(tsk_IsLeaf,GanttView[[#This Row],[_Row]])=1,NOT(GanttView[[#This Row],[_IsMilestone]]),N(GanttView[[#This Row],[%]])&gt;0),GanttView[[#This Row],[Forecast Start]],0))</f>
        <v>0</v>
      </c>
      <c r="P52" s="123" t="n">
        <f aca="false">IF(GanttView[[#This Row],[_DoneFrom]]=0,0,IF(GanttView[[#This Row],[%]]&gt;=1,GanttView[[#This Row],[Forecast Finish]],MAX(GanttView[[#This Row],[_DoneFrom]],GanttView[[#This Row],[Forecast Start]]+ROUND((GanttView[[#This Row],[Forecast Finish]]-GanttView[[#This Row],[Forecast Start]]+1)*GanttView[[#This Row],[%]],0)-1)))</f>
        <v>0</v>
      </c>
      <c r="Q52" s="123" t="n">
        <f aca="false">IF(IFERROR(INDEX(tsk_Name,GanttView[[#This Row],[_Row]])="",TRUE()),0,IF(OR(INDEX(tsk_IsLeaf,GanttView[[#This Row],[_Row]])&lt;&gt;1,GanttView[[#This Row],[_IsMilestone]],N(GanttView[[#This Row],[%]])&gt;=1),0,IF(GanttView[[#This Row],[_DoneTo]]&gt;0,GanttView[[#This Row],[_DoneTo]]+1,GanttView[[#This Row],[Forecast Start]])))</f>
        <v>0</v>
      </c>
      <c r="R52" s="123" t="n">
        <f aca="false">IF(GanttView[[#This Row],[_RemFrom]]=0,0,GanttView[[#This Row],[Forecast Finish]])</f>
        <v>0</v>
      </c>
      <c r="S52" s="122" t="b">
        <f aca="false">IF(IFERROR(INDEX(tsk_Name,GanttView[[#This Row],[_Row]])="",TRUE()),FALSE(),N(INDEX(tsk_Variance,GanttView[[#This Row],[_Row]]))&gt;0)</f>
        <v>0</v>
      </c>
      <c r="T52" s="123" t="n">
        <f aca="false">IF(IFERROR(INDEX(tsk_Name,GanttView[[#This Row],[_Row]])="",TRUE()),0,N(INDEX(tsk_Deadline,GanttView[[#This Row],[_Row]])))</f>
        <v>0</v>
      </c>
      <c r="U52" s="122"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Row],[_Row]])="",TRUE()),"",INDEX(tsk_ResourceNames,GanttView[[#This Row],[_Row]])&amp;"")</f>
        <v/>
      </c>
      <c r="K53" s="117" t="str">
        <f aca="false">IF(IFERROR(INDEX(tsk_Name,GanttView[[#This Row],[_Row]])="",TRUE()),"",INDEX(tsk_Status,GanttView[[#This Row],[_Row]]))</f>
        <v/>
      </c>
      <c r="L53" s="121" t="n">
        <f aca="false">ROW()-ROW(GanttView[[#Headers],[ID]])</f>
        <v>48</v>
      </c>
      <c r="M53" s="122" t="b">
        <f aca="false">IF(IFERROR(INDEX(tsk_Name,GanttView[[#This Row],[_Row]])="",TRUE()),FALSE(),INDEX(tsk_IsSummary,GanttView[[#This Row],[_Row]]))</f>
        <v>0</v>
      </c>
      <c r="N53" s="122" t="b">
        <f aca="false">IF(IFERROR(INDEX(tsk_Name,GanttView[[#This Row],[_Row]])="",TRUE()),FALSE(),AND(INDEX(tsk_IsLeaf,GanttView[[#This Row],[_Row]])=1,N(INDEX(tsk_Duration,GanttView[[#This Row],[_Row]]))=0))</f>
        <v>0</v>
      </c>
      <c r="O53" s="123" t="n">
        <f aca="false">IF(IFERROR(INDEX(tsk_Name,GanttView[[#This Row],[_Row]])="",TRUE()),0,IF(AND(INDEX(tsk_IsLeaf,GanttView[[#This Row],[_Row]])=1,NOT(GanttView[[#This Row],[_IsMilestone]]),N(GanttView[[#This Row],[%]])&gt;0),GanttView[[#This Row],[Forecast Start]],0))</f>
        <v>0</v>
      </c>
      <c r="P53" s="123" t="n">
        <f aca="false">IF(GanttView[[#This Row],[_DoneFrom]]=0,0,IF(GanttView[[#This Row],[%]]&gt;=1,GanttView[[#This Row],[Forecast Finish]],MAX(GanttView[[#This Row],[_DoneFrom]],GanttView[[#This Row],[Forecast Start]]+ROUND((GanttView[[#This Row],[Forecast Finish]]-GanttView[[#This Row],[Forecast Start]]+1)*GanttView[[#This Row],[%]],0)-1)))</f>
        <v>0</v>
      </c>
      <c r="Q53" s="123" t="n">
        <f aca="false">IF(IFERROR(INDEX(tsk_Name,GanttView[[#This Row],[_Row]])="",TRUE()),0,IF(OR(INDEX(tsk_IsLeaf,GanttView[[#This Row],[_Row]])&lt;&gt;1,GanttView[[#This Row],[_IsMilestone]],N(GanttView[[#This Row],[%]])&gt;=1),0,IF(GanttView[[#This Row],[_DoneTo]]&gt;0,GanttView[[#This Row],[_DoneTo]]+1,GanttView[[#This Row],[Forecast Start]])))</f>
        <v>0</v>
      </c>
      <c r="R53" s="123" t="n">
        <f aca="false">IF(GanttView[[#This Row],[_RemFrom]]=0,0,GanttView[[#This Row],[Forecast Finish]])</f>
        <v>0</v>
      </c>
      <c r="S53" s="122" t="b">
        <f aca="false">IF(IFERROR(INDEX(tsk_Name,GanttView[[#This Row],[_Row]])="",TRUE()),FALSE(),N(INDEX(tsk_Variance,GanttView[[#This Row],[_Row]]))&gt;0)</f>
        <v>0</v>
      </c>
      <c r="T53" s="123" t="n">
        <f aca="false">IF(IFERROR(INDEX(tsk_Name,GanttView[[#This Row],[_Row]])="",TRUE()),0,N(INDEX(tsk_Deadline,GanttView[[#This Row],[_Row]])))</f>
        <v>0</v>
      </c>
      <c r="U53" s="122"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Row],[_Row]])="",TRUE()),"",INDEX(tsk_ResourceNames,GanttView[[#This Row],[_Row]])&amp;"")</f>
        <v/>
      </c>
      <c r="K54" s="117" t="str">
        <f aca="false">IF(IFERROR(INDEX(tsk_Name,GanttView[[#This Row],[_Row]])="",TRUE()),"",INDEX(tsk_Status,GanttView[[#This Row],[_Row]]))</f>
        <v/>
      </c>
      <c r="L54" s="121" t="n">
        <f aca="false">ROW()-ROW(GanttView[[#Headers],[ID]])</f>
        <v>49</v>
      </c>
      <c r="M54" s="122" t="b">
        <f aca="false">IF(IFERROR(INDEX(tsk_Name,GanttView[[#This Row],[_Row]])="",TRUE()),FALSE(),INDEX(tsk_IsSummary,GanttView[[#This Row],[_Row]]))</f>
        <v>0</v>
      </c>
      <c r="N54" s="122" t="b">
        <f aca="false">IF(IFERROR(INDEX(tsk_Name,GanttView[[#This Row],[_Row]])="",TRUE()),FALSE(),AND(INDEX(tsk_IsLeaf,GanttView[[#This Row],[_Row]])=1,N(INDEX(tsk_Duration,GanttView[[#This Row],[_Row]]))=0))</f>
        <v>0</v>
      </c>
      <c r="O54" s="123" t="n">
        <f aca="false">IF(IFERROR(INDEX(tsk_Name,GanttView[[#This Row],[_Row]])="",TRUE()),0,IF(AND(INDEX(tsk_IsLeaf,GanttView[[#This Row],[_Row]])=1,NOT(GanttView[[#This Row],[_IsMilestone]]),N(GanttView[[#This Row],[%]])&gt;0),GanttView[[#This Row],[Forecast Start]],0))</f>
        <v>0</v>
      </c>
      <c r="P54" s="123" t="n">
        <f aca="false">IF(GanttView[[#This Row],[_DoneFrom]]=0,0,IF(GanttView[[#This Row],[%]]&gt;=1,GanttView[[#This Row],[Forecast Finish]],MAX(GanttView[[#This Row],[_DoneFrom]],GanttView[[#This Row],[Forecast Start]]+ROUND((GanttView[[#This Row],[Forecast Finish]]-GanttView[[#This Row],[Forecast Start]]+1)*GanttView[[#This Row],[%]],0)-1)))</f>
        <v>0</v>
      </c>
      <c r="Q54" s="123" t="n">
        <f aca="false">IF(IFERROR(INDEX(tsk_Name,GanttView[[#This Row],[_Row]])="",TRUE()),0,IF(OR(INDEX(tsk_IsLeaf,GanttView[[#This Row],[_Row]])&lt;&gt;1,GanttView[[#This Row],[_IsMilestone]],N(GanttView[[#This Row],[%]])&gt;=1),0,IF(GanttView[[#This Row],[_DoneTo]]&gt;0,GanttView[[#This Row],[_DoneTo]]+1,GanttView[[#This Row],[Forecast Start]])))</f>
        <v>0</v>
      </c>
      <c r="R54" s="123" t="n">
        <f aca="false">IF(GanttView[[#This Row],[_RemFrom]]=0,0,GanttView[[#This Row],[Forecast Finish]])</f>
        <v>0</v>
      </c>
      <c r="S54" s="122" t="b">
        <f aca="false">IF(IFERROR(INDEX(tsk_Name,GanttView[[#This Row],[_Row]])="",TRUE()),FALSE(),N(INDEX(tsk_Variance,GanttView[[#This Row],[_Row]]))&gt;0)</f>
        <v>0</v>
      </c>
      <c r="T54" s="123" t="n">
        <f aca="false">IF(IFERROR(INDEX(tsk_Name,GanttView[[#This Row],[_Row]])="",TRUE()),0,N(INDEX(tsk_Deadline,GanttView[[#This Row],[_Row]])))</f>
        <v>0</v>
      </c>
      <c r="U54" s="122"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Row],[_Row]])="",TRUE()),"",INDEX(tsk_ResourceNames,GanttView[[#This Row],[_Row]])&amp;"")</f>
        <v/>
      </c>
      <c r="K55" s="117" t="str">
        <f aca="false">IF(IFERROR(INDEX(tsk_Name,GanttView[[#This Row],[_Row]])="",TRUE()),"",INDEX(tsk_Status,GanttView[[#This Row],[_Row]]))</f>
        <v/>
      </c>
      <c r="L55" s="121" t="n">
        <f aca="false">ROW()-ROW(GanttView[[#Headers],[ID]])</f>
        <v>50</v>
      </c>
      <c r="M55" s="122" t="b">
        <f aca="false">IF(IFERROR(INDEX(tsk_Name,GanttView[[#This Row],[_Row]])="",TRUE()),FALSE(),INDEX(tsk_IsSummary,GanttView[[#This Row],[_Row]]))</f>
        <v>0</v>
      </c>
      <c r="N55" s="122" t="b">
        <f aca="false">IF(IFERROR(INDEX(tsk_Name,GanttView[[#This Row],[_Row]])="",TRUE()),FALSE(),AND(INDEX(tsk_IsLeaf,GanttView[[#This Row],[_Row]])=1,N(INDEX(tsk_Duration,GanttView[[#This Row],[_Row]]))=0))</f>
        <v>0</v>
      </c>
      <c r="O55" s="123" t="n">
        <f aca="false">IF(IFERROR(INDEX(tsk_Name,GanttView[[#This Row],[_Row]])="",TRUE()),0,IF(AND(INDEX(tsk_IsLeaf,GanttView[[#This Row],[_Row]])=1,NOT(GanttView[[#This Row],[_IsMilestone]]),N(GanttView[[#This Row],[%]])&gt;0),GanttView[[#This Row],[Forecast Start]],0))</f>
        <v>0</v>
      </c>
      <c r="P55" s="123" t="n">
        <f aca="false">IF(GanttView[[#This Row],[_DoneFrom]]=0,0,IF(GanttView[[#This Row],[%]]&gt;=1,GanttView[[#This Row],[Forecast Finish]],MAX(GanttView[[#This Row],[_DoneFrom]],GanttView[[#This Row],[Forecast Start]]+ROUND((GanttView[[#This Row],[Forecast Finish]]-GanttView[[#This Row],[Forecast Start]]+1)*GanttView[[#This Row],[%]],0)-1)))</f>
        <v>0</v>
      </c>
      <c r="Q55" s="123" t="n">
        <f aca="false">IF(IFERROR(INDEX(tsk_Name,GanttView[[#This Row],[_Row]])="",TRUE()),0,IF(OR(INDEX(tsk_IsLeaf,GanttView[[#This Row],[_Row]])&lt;&gt;1,GanttView[[#This Row],[_IsMilestone]],N(GanttView[[#This Row],[%]])&gt;=1),0,IF(GanttView[[#This Row],[_DoneTo]]&gt;0,GanttView[[#This Row],[_DoneTo]]+1,GanttView[[#This Row],[Forecast Start]])))</f>
        <v>0</v>
      </c>
      <c r="R55" s="123" t="n">
        <f aca="false">IF(GanttView[[#This Row],[_RemFrom]]=0,0,GanttView[[#This Row],[Forecast Finish]])</f>
        <v>0</v>
      </c>
      <c r="S55" s="122" t="b">
        <f aca="false">IF(IFERROR(INDEX(tsk_Name,GanttView[[#This Row],[_Row]])="",TRUE()),FALSE(),N(INDEX(tsk_Variance,GanttView[[#This Row],[_Row]]))&gt;0)</f>
        <v>0</v>
      </c>
      <c r="T55" s="123" t="n">
        <f aca="false">IF(IFERROR(INDEX(tsk_Name,GanttView[[#This Row],[_Row]])="",TRUE()),0,N(INDEX(tsk_Deadline,GanttView[[#This Row],[_Row]])))</f>
        <v>0</v>
      </c>
      <c r="U55" s="122"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Row],[_Row]])="",TRUE()),"",INDEX(tsk_ResourceNames,GanttView[[#This Row],[_Row]])&amp;"")</f>
        <v/>
      </c>
      <c r="K56" s="117" t="str">
        <f aca="false">IF(IFERROR(INDEX(tsk_Name,GanttView[[#This Row],[_Row]])="",TRUE()),"",INDEX(tsk_Status,GanttView[[#This Row],[_Row]]))</f>
        <v/>
      </c>
      <c r="L56" s="121" t="n">
        <f aca="false">ROW()-ROW(GanttView[[#Headers],[ID]])</f>
        <v>51</v>
      </c>
      <c r="M56" s="122" t="b">
        <f aca="false">IF(IFERROR(INDEX(tsk_Name,GanttView[[#This Row],[_Row]])="",TRUE()),FALSE(),INDEX(tsk_IsSummary,GanttView[[#This Row],[_Row]]))</f>
        <v>0</v>
      </c>
      <c r="N56" s="122" t="b">
        <f aca="false">IF(IFERROR(INDEX(tsk_Name,GanttView[[#This Row],[_Row]])="",TRUE()),FALSE(),AND(INDEX(tsk_IsLeaf,GanttView[[#This Row],[_Row]])=1,N(INDEX(tsk_Duration,GanttView[[#This Row],[_Row]]))=0))</f>
        <v>0</v>
      </c>
      <c r="O56" s="123" t="n">
        <f aca="false">IF(IFERROR(INDEX(tsk_Name,GanttView[[#This Row],[_Row]])="",TRUE()),0,IF(AND(INDEX(tsk_IsLeaf,GanttView[[#This Row],[_Row]])=1,NOT(GanttView[[#This Row],[_IsMilestone]]),N(GanttView[[#This Row],[%]])&gt;0),GanttView[[#This Row],[Forecast Start]],0))</f>
        <v>0</v>
      </c>
      <c r="P56" s="123" t="n">
        <f aca="false">IF(GanttView[[#This Row],[_DoneFrom]]=0,0,IF(GanttView[[#This Row],[%]]&gt;=1,GanttView[[#This Row],[Forecast Finish]],MAX(GanttView[[#This Row],[_DoneFrom]],GanttView[[#This Row],[Forecast Start]]+ROUND((GanttView[[#This Row],[Forecast Finish]]-GanttView[[#This Row],[Forecast Start]]+1)*GanttView[[#This Row],[%]],0)-1)))</f>
        <v>0</v>
      </c>
      <c r="Q56" s="123" t="n">
        <f aca="false">IF(IFERROR(INDEX(tsk_Name,GanttView[[#This Row],[_Row]])="",TRUE()),0,IF(OR(INDEX(tsk_IsLeaf,GanttView[[#This Row],[_Row]])&lt;&gt;1,GanttView[[#This Row],[_IsMilestone]],N(GanttView[[#This Row],[%]])&gt;=1),0,IF(GanttView[[#This Row],[_DoneTo]]&gt;0,GanttView[[#This Row],[_DoneTo]]+1,GanttView[[#This Row],[Forecast Start]])))</f>
        <v>0</v>
      </c>
      <c r="R56" s="123" t="n">
        <f aca="false">IF(GanttView[[#This Row],[_RemFrom]]=0,0,GanttView[[#This Row],[Forecast Finish]])</f>
        <v>0</v>
      </c>
      <c r="S56" s="122" t="b">
        <f aca="false">IF(IFERROR(INDEX(tsk_Name,GanttView[[#This Row],[_Row]])="",TRUE()),FALSE(),N(INDEX(tsk_Variance,GanttView[[#This Row],[_Row]]))&gt;0)</f>
        <v>0</v>
      </c>
      <c r="T56" s="123" t="n">
        <f aca="false">IF(IFERROR(INDEX(tsk_Name,GanttView[[#This Row],[_Row]])="",TRUE()),0,N(INDEX(tsk_Deadline,GanttView[[#This Row],[_Row]])))</f>
        <v>0</v>
      </c>
      <c r="U56" s="122"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Row],[_Row]])="",TRUE()),"",INDEX(tsk_ResourceNames,GanttView[[#This Row],[_Row]])&amp;"")</f>
        <v/>
      </c>
      <c r="K57" s="117" t="str">
        <f aca="false">IF(IFERROR(INDEX(tsk_Name,GanttView[[#This Row],[_Row]])="",TRUE()),"",INDEX(tsk_Status,GanttView[[#This Row],[_Row]]))</f>
        <v/>
      </c>
      <c r="L57" s="121" t="n">
        <f aca="false">ROW()-ROW(GanttView[[#Headers],[ID]])</f>
        <v>52</v>
      </c>
      <c r="M57" s="122" t="b">
        <f aca="false">IF(IFERROR(INDEX(tsk_Name,GanttView[[#This Row],[_Row]])="",TRUE()),FALSE(),INDEX(tsk_IsSummary,GanttView[[#This Row],[_Row]]))</f>
        <v>0</v>
      </c>
      <c r="N57" s="122" t="b">
        <f aca="false">IF(IFERROR(INDEX(tsk_Name,GanttView[[#This Row],[_Row]])="",TRUE()),FALSE(),AND(INDEX(tsk_IsLeaf,GanttView[[#This Row],[_Row]])=1,N(INDEX(tsk_Duration,GanttView[[#This Row],[_Row]]))=0))</f>
        <v>0</v>
      </c>
      <c r="O57" s="123" t="n">
        <f aca="false">IF(IFERROR(INDEX(tsk_Name,GanttView[[#This Row],[_Row]])="",TRUE()),0,IF(AND(INDEX(tsk_IsLeaf,GanttView[[#This Row],[_Row]])=1,NOT(GanttView[[#This Row],[_IsMilestone]]),N(GanttView[[#This Row],[%]])&gt;0),GanttView[[#This Row],[Forecast Start]],0))</f>
        <v>0</v>
      </c>
      <c r="P57" s="123" t="n">
        <f aca="false">IF(GanttView[[#This Row],[_DoneFrom]]=0,0,IF(GanttView[[#This Row],[%]]&gt;=1,GanttView[[#This Row],[Forecast Finish]],MAX(GanttView[[#This Row],[_DoneFrom]],GanttView[[#This Row],[Forecast Start]]+ROUND((GanttView[[#This Row],[Forecast Finish]]-GanttView[[#This Row],[Forecast Start]]+1)*GanttView[[#This Row],[%]],0)-1)))</f>
        <v>0</v>
      </c>
      <c r="Q57" s="123" t="n">
        <f aca="false">IF(IFERROR(INDEX(tsk_Name,GanttView[[#This Row],[_Row]])="",TRUE()),0,IF(OR(INDEX(tsk_IsLeaf,GanttView[[#This Row],[_Row]])&lt;&gt;1,GanttView[[#This Row],[_IsMilestone]],N(GanttView[[#This Row],[%]])&gt;=1),0,IF(GanttView[[#This Row],[_DoneTo]]&gt;0,GanttView[[#This Row],[_DoneTo]]+1,GanttView[[#This Row],[Forecast Start]])))</f>
        <v>0</v>
      </c>
      <c r="R57" s="123" t="n">
        <f aca="false">IF(GanttView[[#This Row],[_RemFrom]]=0,0,GanttView[[#This Row],[Forecast Finish]])</f>
        <v>0</v>
      </c>
      <c r="S57" s="122" t="b">
        <f aca="false">IF(IFERROR(INDEX(tsk_Name,GanttView[[#This Row],[_Row]])="",TRUE()),FALSE(),N(INDEX(tsk_Variance,GanttView[[#This Row],[_Row]]))&gt;0)</f>
        <v>0</v>
      </c>
      <c r="T57" s="123" t="n">
        <f aca="false">IF(IFERROR(INDEX(tsk_Name,GanttView[[#This Row],[_Row]])="",TRUE()),0,N(INDEX(tsk_Deadline,GanttView[[#This Row],[_Row]])))</f>
        <v>0</v>
      </c>
      <c r="U57" s="122"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Row],[_Row]])="",TRUE()),"",INDEX(tsk_ResourceNames,GanttView[[#This Row],[_Row]])&amp;"")</f>
        <v/>
      </c>
      <c r="K58" s="117" t="str">
        <f aca="false">IF(IFERROR(INDEX(tsk_Name,GanttView[[#This Row],[_Row]])="",TRUE()),"",INDEX(tsk_Status,GanttView[[#This Row],[_Row]]))</f>
        <v/>
      </c>
      <c r="L58" s="121" t="n">
        <f aca="false">ROW()-ROW(GanttView[[#Headers],[ID]])</f>
        <v>53</v>
      </c>
      <c r="M58" s="122" t="b">
        <f aca="false">IF(IFERROR(INDEX(tsk_Name,GanttView[[#This Row],[_Row]])="",TRUE()),FALSE(),INDEX(tsk_IsSummary,GanttView[[#This Row],[_Row]]))</f>
        <v>0</v>
      </c>
      <c r="N58" s="122" t="b">
        <f aca="false">IF(IFERROR(INDEX(tsk_Name,GanttView[[#This Row],[_Row]])="",TRUE()),FALSE(),AND(INDEX(tsk_IsLeaf,GanttView[[#This Row],[_Row]])=1,N(INDEX(tsk_Duration,GanttView[[#This Row],[_Row]]))=0))</f>
        <v>0</v>
      </c>
      <c r="O58" s="123" t="n">
        <f aca="false">IF(IFERROR(INDEX(tsk_Name,GanttView[[#This Row],[_Row]])="",TRUE()),0,IF(AND(INDEX(tsk_IsLeaf,GanttView[[#This Row],[_Row]])=1,NOT(GanttView[[#This Row],[_IsMilestone]]),N(GanttView[[#This Row],[%]])&gt;0),GanttView[[#This Row],[Forecast Start]],0))</f>
        <v>0</v>
      </c>
      <c r="P58" s="123" t="n">
        <f aca="false">IF(GanttView[[#This Row],[_DoneFrom]]=0,0,IF(GanttView[[#This Row],[%]]&gt;=1,GanttView[[#This Row],[Forecast Finish]],MAX(GanttView[[#This Row],[_DoneFrom]],GanttView[[#This Row],[Forecast Start]]+ROUND((GanttView[[#This Row],[Forecast Finish]]-GanttView[[#This Row],[Forecast Start]]+1)*GanttView[[#This Row],[%]],0)-1)))</f>
        <v>0</v>
      </c>
      <c r="Q58" s="123" t="n">
        <f aca="false">IF(IFERROR(INDEX(tsk_Name,GanttView[[#This Row],[_Row]])="",TRUE()),0,IF(OR(INDEX(tsk_IsLeaf,GanttView[[#This Row],[_Row]])&lt;&gt;1,GanttView[[#This Row],[_IsMilestone]],N(GanttView[[#This Row],[%]])&gt;=1),0,IF(GanttView[[#This Row],[_DoneTo]]&gt;0,GanttView[[#This Row],[_DoneTo]]+1,GanttView[[#This Row],[Forecast Start]])))</f>
        <v>0</v>
      </c>
      <c r="R58" s="123" t="n">
        <f aca="false">IF(GanttView[[#This Row],[_RemFrom]]=0,0,GanttView[[#This Row],[Forecast Finish]])</f>
        <v>0</v>
      </c>
      <c r="S58" s="122" t="b">
        <f aca="false">IF(IFERROR(INDEX(tsk_Name,GanttView[[#This Row],[_Row]])="",TRUE()),FALSE(),N(INDEX(tsk_Variance,GanttView[[#This Row],[_Row]]))&gt;0)</f>
        <v>0</v>
      </c>
      <c r="T58" s="123" t="n">
        <f aca="false">IF(IFERROR(INDEX(tsk_Name,GanttView[[#This Row],[_Row]])="",TRUE()),0,N(INDEX(tsk_Deadline,GanttView[[#This Row],[_Row]])))</f>
        <v>0</v>
      </c>
      <c r="U58" s="122"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Row],[_Row]])="",TRUE()),"",INDEX(tsk_ResourceNames,GanttView[[#This Row],[_Row]])&amp;"")</f>
        <v/>
      </c>
      <c r="K59" s="117" t="str">
        <f aca="false">IF(IFERROR(INDEX(tsk_Name,GanttView[[#This Row],[_Row]])="",TRUE()),"",INDEX(tsk_Status,GanttView[[#This Row],[_Row]]))</f>
        <v/>
      </c>
      <c r="L59" s="121" t="n">
        <f aca="false">ROW()-ROW(GanttView[[#Headers],[ID]])</f>
        <v>54</v>
      </c>
      <c r="M59" s="122" t="b">
        <f aca="false">IF(IFERROR(INDEX(tsk_Name,GanttView[[#This Row],[_Row]])="",TRUE()),FALSE(),INDEX(tsk_IsSummary,GanttView[[#This Row],[_Row]]))</f>
        <v>0</v>
      </c>
      <c r="N59" s="122" t="b">
        <f aca="false">IF(IFERROR(INDEX(tsk_Name,GanttView[[#This Row],[_Row]])="",TRUE()),FALSE(),AND(INDEX(tsk_IsLeaf,GanttView[[#This Row],[_Row]])=1,N(INDEX(tsk_Duration,GanttView[[#This Row],[_Row]]))=0))</f>
        <v>0</v>
      </c>
      <c r="O59" s="123" t="n">
        <f aca="false">IF(IFERROR(INDEX(tsk_Name,GanttView[[#This Row],[_Row]])="",TRUE()),0,IF(AND(INDEX(tsk_IsLeaf,GanttView[[#This Row],[_Row]])=1,NOT(GanttView[[#This Row],[_IsMilestone]]),N(GanttView[[#This Row],[%]])&gt;0),GanttView[[#This Row],[Forecast Start]],0))</f>
        <v>0</v>
      </c>
      <c r="P59" s="123" t="n">
        <f aca="false">IF(GanttView[[#This Row],[_DoneFrom]]=0,0,IF(GanttView[[#This Row],[%]]&gt;=1,GanttView[[#This Row],[Forecast Finish]],MAX(GanttView[[#This Row],[_DoneFrom]],GanttView[[#This Row],[Forecast Start]]+ROUND((GanttView[[#This Row],[Forecast Finish]]-GanttView[[#This Row],[Forecast Start]]+1)*GanttView[[#This Row],[%]],0)-1)))</f>
        <v>0</v>
      </c>
      <c r="Q59" s="123" t="n">
        <f aca="false">IF(IFERROR(INDEX(tsk_Name,GanttView[[#This Row],[_Row]])="",TRUE()),0,IF(OR(INDEX(tsk_IsLeaf,GanttView[[#This Row],[_Row]])&lt;&gt;1,GanttView[[#This Row],[_IsMilestone]],N(GanttView[[#This Row],[%]])&gt;=1),0,IF(GanttView[[#This Row],[_DoneTo]]&gt;0,GanttView[[#This Row],[_DoneTo]]+1,GanttView[[#This Row],[Forecast Start]])))</f>
        <v>0</v>
      </c>
      <c r="R59" s="123" t="n">
        <f aca="false">IF(GanttView[[#This Row],[_RemFrom]]=0,0,GanttView[[#This Row],[Forecast Finish]])</f>
        <v>0</v>
      </c>
      <c r="S59" s="122" t="b">
        <f aca="false">IF(IFERROR(INDEX(tsk_Name,GanttView[[#This Row],[_Row]])="",TRUE()),FALSE(),N(INDEX(tsk_Variance,GanttView[[#This Row],[_Row]]))&gt;0)</f>
        <v>0</v>
      </c>
      <c r="T59" s="123" t="n">
        <f aca="false">IF(IFERROR(INDEX(tsk_Name,GanttView[[#This Row],[_Row]])="",TRUE()),0,N(INDEX(tsk_Deadline,GanttView[[#This Row],[_Row]])))</f>
        <v>0</v>
      </c>
      <c r="U59" s="122"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Row],[_Row]])="",TRUE()),"",INDEX(tsk_ResourceNames,GanttView[[#This Row],[_Row]])&amp;"")</f>
        <v/>
      </c>
      <c r="K60" s="117" t="str">
        <f aca="false">IF(IFERROR(INDEX(tsk_Name,GanttView[[#This Row],[_Row]])="",TRUE()),"",INDEX(tsk_Status,GanttView[[#This Row],[_Row]]))</f>
        <v/>
      </c>
      <c r="L60" s="121" t="n">
        <f aca="false">ROW()-ROW(GanttView[[#Headers],[ID]])</f>
        <v>55</v>
      </c>
      <c r="M60" s="122" t="b">
        <f aca="false">IF(IFERROR(INDEX(tsk_Name,GanttView[[#This Row],[_Row]])="",TRUE()),FALSE(),INDEX(tsk_IsSummary,GanttView[[#This Row],[_Row]]))</f>
        <v>0</v>
      </c>
      <c r="N60" s="122" t="b">
        <f aca="false">IF(IFERROR(INDEX(tsk_Name,GanttView[[#This Row],[_Row]])="",TRUE()),FALSE(),AND(INDEX(tsk_IsLeaf,GanttView[[#This Row],[_Row]])=1,N(INDEX(tsk_Duration,GanttView[[#This Row],[_Row]]))=0))</f>
        <v>0</v>
      </c>
      <c r="O60" s="123" t="n">
        <f aca="false">IF(IFERROR(INDEX(tsk_Name,GanttView[[#This Row],[_Row]])="",TRUE()),0,IF(AND(INDEX(tsk_IsLeaf,GanttView[[#This Row],[_Row]])=1,NOT(GanttView[[#This Row],[_IsMilestone]]),N(GanttView[[#This Row],[%]])&gt;0),GanttView[[#This Row],[Forecast Start]],0))</f>
        <v>0</v>
      </c>
      <c r="P60" s="123" t="n">
        <f aca="false">IF(GanttView[[#This Row],[_DoneFrom]]=0,0,IF(GanttView[[#This Row],[%]]&gt;=1,GanttView[[#This Row],[Forecast Finish]],MAX(GanttView[[#This Row],[_DoneFrom]],GanttView[[#This Row],[Forecast Start]]+ROUND((GanttView[[#This Row],[Forecast Finish]]-GanttView[[#This Row],[Forecast Start]]+1)*GanttView[[#This Row],[%]],0)-1)))</f>
        <v>0</v>
      </c>
      <c r="Q60" s="123" t="n">
        <f aca="false">IF(IFERROR(INDEX(tsk_Name,GanttView[[#This Row],[_Row]])="",TRUE()),0,IF(OR(INDEX(tsk_IsLeaf,GanttView[[#This Row],[_Row]])&lt;&gt;1,GanttView[[#This Row],[_IsMilestone]],N(GanttView[[#This Row],[%]])&gt;=1),0,IF(GanttView[[#This Row],[_DoneTo]]&gt;0,GanttView[[#This Row],[_DoneTo]]+1,GanttView[[#This Row],[Forecast Start]])))</f>
        <v>0</v>
      </c>
      <c r="R60" s="123" t="n">
        <f aca="false">IF(GanttView[[#This Row],[_RemFrom]]=0,0,GanttView[[#This Row],[Forecast Finish]])</f>
        <v>0</v>
      </c>
      <c r="S60" s="122" t="b">
        <f aca="false">IF(IFERROR(INDEX(tsk_Name,GanttView[[#This Row],[_Row]])="",TRUE()),FALSE(),N(INDEX(tsk_Variance,GanttView[[#This Row],[_Row]]))&gt;0)</f>
        <v>0</v>
      </c>
      <c r="T60" s="123" t="n">
        <f aca="false">IF(IFERROR(INDEX(tsk_Name,GanttView[[#This Row],[_Row]])="",TRUE()),0,N(INDEX(tsk_Deadline,GanttView[[#This Row],[_Row]])))</f>
        <v>0</v>
      </c>
      <c r="U60" s="122"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Row],[_Row]])="",TRUE()),"",INDEX(tsk_ResourceNames,GanttView[[#This Row],[_Row]])&amp;"")</f>
        <v/>
      </c>
      <c r="K61" s="117" t="str">
        <f aca="false">IF(IFERROR(INDEX(tsk_Name,GanttView[[#This Row],[_Row]])="",TRUE()),"",INDEX(tsk_Status,GanttView[[#This Row],[_Row]]))</f>
        <v/>
      </c>
      <c r="L61" s="121" t="n">
        <f aca="false">ROW()-ROW(GanttView[[#Headers],[ID]])</f>
        <v>56</v>
      </c>
      <c r="M61" s="122" t="b">
        <f aca="false">IF(IFERROR(INDEX(tsk_Name,GanttView[[#This Row],[_Row]])="",TRUE()),FALSE(),INDEX(tsk_IsSummary,GanttView[[#This Row],[_Row]]))</f>
        <v>0</v>
      </c>
      <c r="N61" s="122" t="b">
        <f aca="false">IF(IFERROR(INDEX(tsk_Name,GanttView[[#This Row],[_Row]])="",TRUE()),FALSE(),AND(INDEX(tsk_IsLeaf,GanttView[[#This Row],[_Row]])=1,N(INDEX(tsk_Duration,GanttView[[#This Row],[_Row]]))=0))</f>
        <v>0</v>
      </c>
      <c r="O61" s="123" t="n">
        <f aca="false">IF(IFERROR(INDEX(tsk_Name,GanttView[[#This Row],[_Row]])="",TRUE()),0,IF(AND(INDEX(tsk_IsLeaf,GanttView[[#This Row],[_Row]])=1,NOT(GanttView[[#This Row],[_IsMilestone]]),N(GanttView[[#This Row],[%]])&gt;0),GanttView[[#This Row],[Forecast Start]],0))</f>
        <v>0</v>
      </c>
      <c r="P61" s="123" t="n">
        <f aca="false">IF(GanttView[[#This Row],[_DoneFrom]]=0,0,IF(GanttView[[#This Row],[%]]&gt;=1,GanttView[[#This Row],[Forecast Finish]],MAX(GanttView[[#This Row],[_DoneFrom]],GanttView[[#This Row],[Forecast Start]]+ROUND((GanttView[[#This Row],[Forecast Finish]]-GanttView[[#This Row],[Forecast Start]]+1)*GanttView[[#This Row],[%]],0)-1)))</f>
        <v>0</v>
      </c>
      <c r="Q61" s="123" t="n">
        <f aca="false">IF(IFERROR(INDEX(tsk_Name,GanttView[[#This Row],[_Row]])="",TRUE()),0,IF(OR(INDEX(tsk_IsLeaf,GanttView[[#This Row],[_Row]])&lt;&gt;1,GanttView[[#This Row],[_IsMilestone]],N(GanttView[[#This Row],[%]])&gt;=1),0,IF(GanttView[[#This Row],[_DoneTo]]&gt;0,GanttView[[#This Row],[_DoneTo]]+1,GanttView[[#This Row],[Forecast Start]])))</f>
        <v>0</v>
      </c>
      <c r="R61" s="123" t="n">
        <f aca="false">IF(GanttView[[#This Row],[_RemFrom]]=0,0,GanttView[[#This Row],[Forecast Finish]])</f>
        <v>0</v>
      </c>
      <c r="S61" s="122" t="b">
        <f aca="false">IF(IFERROR(INDEX(tsk_Name,GanttView[[#This Row],[_Row]])="",TRUE()),FALSE(),N(INDEX(tsk_Variance,GanttView[[#This Row],[_Row]]))&gt;0)</f>
        <v>0</v>
      </c>
      <c r="T61" s="123" t="n">
        <f aca="false">IF(IFERROR(INDEX(tsk_Name,GanttView[[#This Row],[_Row]])="",TRUE()),0,N(INDEX(tsk_Deadline,GanttView[[#This Row],[_Row]])))</f>
        <v>0</v>
      </c>
      <c r="U61" s="122"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Row],[_Row]])="",TRUE()),"",INDEX(tsk_ResourceNames,GanttView[[#This Row],[_Row]])&amp;"")</f>
        <v/>
      </c>
      <c r="K62" s="117" t="str">
        <f aca="false">IF(IFERROR(INDEX(tsk_Name,GanttView[[#This Row],[_Row]])="",TRUE()),"",INDEX(tsk_Status,GanttView[[#This Row],[_Row]]))</f>
        <v/>
      </c>
      <c r="L62" s="121" t="n">
        <f aca="false">ROW()-ROW(GanttView[[#Headers],[ID]])</f>
        <v>57</v>
      </c>
      <c r="M62" s="122" t="b">
        <f aca="false">IF(IFERROR(INDEX(tsk_Name,GanttView[[#This Row],[_Row]])="",TRUE()),FALSE(),INDEX(tsk_IsSummary,GanttView[[#This Row],[_Row]]))</f>
        <v>0</v>
      </c>
      <c r="N62" s="122" t="b">
        <f aca="false">IF(IFERROR(INDEX(tsk_Name,GanttView[[#This Row],[_Row]])="",TRUE()),FALSE(),AND(INDEX(tsk_IsLeaf,GanttView[[#This Row],[_Row]])=1,N(INDEX(tsk_Duration,GanttView[[#This Row],[_Row]]))=0))</f>
        <v>0</v>
      </c>
      <c r="O62" s="123" t="n">
        <f aca="false">IF(IFERROR(INDEX(tsk_Name,GanttView[[#This Row],[_Row]])="",TRUE()),0,IF(AND(INDEX(tsk_IsLeaf,GanttView[[#This Row],[_Row]])=1,NOT(GanttView[[#This Row],[_IsMilestone]]),N(GanttView[[#This Row],[%]])&gt;0),GanttView[[#This Row],[Forecast Start]],0))</f>
        <v>0</v>
      </c>
      <c r="P62" s="123" t="n">
        <f aca="false">IF(GanttView[[#This Row],[_DoneFrom]]=0,0,IF(GanttView[[#This Row],[%]]&gt;=1,GanttView[[#This Row],[Forecast Finish]],MAX(GanttView[[#This Row],[_DoneFrom]],GanttView[[#This Row],[Forecast Start]]+ROUND((GanttView[[#This Row],[Forecast Finish]]-GanttView[[#This Row],[Forecast Start]]+1)*GanttView[[#This Row],[%]],0)-1)))</f>
        <v>0</v>
      </c>
      <c r="Q62" s="123" t="n">
        <f aca="false">IF(IFERROR(INDEX(tsk_Name,GanttView[[#This Row],[_Row]])="",TRUE()),0,IF(OR(INDEX(tsk_IsLeaf,GanttView[[#This Row],[_Row]])&lt;&gt;1,GanttView[[#This Row],[_IsMilestone]],N(GanttView[[#This Row],[%]])&gt;=1),0,IF(GanttView[[#This Row],[_DoneTo]]&gt;0,GanttView[[#This Row],[_DoneTo]]+1,GanttView[[#This Row],[Forecast Start]])))</f>
        <v>0</v>
      </c>
      <c r="R62" s="123" t="n">
        <f aca="false">IF(GanttView[[#This Row],[_RemFrom]]=0,0,GanttView[[#This Row],[Forecast Finish]])</f>
        <v>0</v>
      </c>
      <c r="S62" s="122" t="b">
        <f aca="false">IF(IFERROR(INDEX(tsk_Name,GanttView[[#This Row],[_Row]])="",TRUE()),FALSE(),N(INDEX(tsk_Variance,GanttView[[#This Row],[_Row]]))&gt;0)</f>
        <v>0</v>
      </c>
      <c r="T62" s="123" t="n">
        <f aca="false">IF(IFERROR(INDEX(tsk_Name,GanttView[[#This Row],[_Row]])="",TRUE()),0,N(INDEX(tsk_Deadline,GanttView[[#This Row],[_Row]])))</f>
        <v>0</v>
      </c>
      <c r="U62" s="122"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Row],[_Row]])="",TRUE()),"",INDEX(tsk_ResourceNames,GanttView[[#This Row],[_Row]])&amp;"")</f>
        <v/>
      </c>
      <c r="K63" s="117" t="str">
        <f aca="false">IF(IFERROR(INDEX(tsk_Name,GanttView[[#This Row],[_Row]])="",TRUE()),"",INDEX(tsk_Status,GanttView[[#This Row],[_Row]]))</f>
        <v/>
      </c>
      <c r="L63" s="121" t="n">
        <f aca="false">ROW()-ROW(GanttView[[#Headers],[ID]])</f>
        <v>58</v>
      </c>
      <c r="M63" s="122" t="b">
        <f aca="false">IF(IFERROR(INDEX(tsk_Name,GanttView[[#This Row],[_Row]])="",TRUE()),FALSE(),INDEX(tsk_IsSummary,GanttView[[#This Row],[_Row]]))</f>
        <v>0</v>
      </c>
      <c r="N63" s="122" t="b">
        <f aca="false">IF(IFERROR(INDEX(tsk_Name,GanttView[[#This Row],[_Row]])="",TRUE()),FALSE(),AND(INDEX(tsk_IsLeaf,GanttView[[#This Row],[_Row]])=1,N(INDEX(tsk_Duration,GanttView[[#This Row],[_Row]]))=0))</f>
        <v>0</v>
      </c>
      <c r="O63" s="123" t="n">
        <f aca="false">IF(IFERROR(INDEX(tsk_Name,GanttView[[#This Row],[_Row]])="",TRUE()),0,IF(AND(INDEX(tsk_IsLeaf,GanttView[[#This Row],[_Row]])=1,NOT(GanttView[[#This Row],[_IsMilestone]]),N(GanttView[[#This Row],[%]])&gt;0),GanttView[[#This Row],[Forecast Start]],0))</f>
        <v>0</v>
      </c>
      <c r="P63" s="123" t="n">
        <f aca="false">IF(GanttView[[#This Row],[_DoneFrom]]=0,0,IF(GanttView[[#This Row],[%]]&gt;=1,GanttView[[#This Row],[Forecast Finish]],MAX(GanttView[[#This Row],[_DoneFrom]],GanttView[[#This Row],[Forecast Start]]+ROUND((GanttView[[#This Row],[Forecast Finish]]-GanttView[[#This Row],[Forecast Start]]+1)*GanttView[[#This Row],[%]],0)-1)))</f>
        <v>0</v>
      </c>
      <c r="Q63" s="123" t="n">
        <f aca="false">IF(IFERROR(INDEX(tsk_Name,GanttView[[#This Row],[_Row]])="",TRUE()),0,IF(OR(INDEX(tsk_IsLeaf,GanttView[[#This Row],[_Row]])&lt;&gt;1,GanttView[[#This Row],[_IsMilestone]],N(GanttView[[#This Row],[%]])&gt;=1),0,IF(GanttView[[#This Row],[_DoneTo]]&gt;0,GanttView[[#This Row],[_DoneTo]]+1,GanttView[[#This Row],[Forecast Start]])))</f>
        <v>0</v>
      </c>
      <c r="R63" s="123" t="n">
        <f aca="false">IF(GanttView[[#This Row],[_RemFrom]]=0,0,GanttView[[#This Row],[Forecast Finish]])</f>
        <v>0</v>
      </c>
      <c r="S63" s="122" t="b">
        <f aca="false">IF(IFERROR(INDEX(tsk_Name,GanttView[[#This Row],[_Row]])="",TRUE()),FALSE(),N(INDEX(tsk_Variance,GanttView[[#This Row],[_Row]]))&gt;0)</f>
        <v>0</v>
      </c>
      <c r="T63" s="123" t="n">
        <f aca="false">IF(IFERROR(INDEX(tsk_Name,GanttView[[#This Row],[_Row]])="",TRUE()),0,N(INDEX(tsk_Deadline,GanttView[[#This Row],[_Row]])))</f>
        <v>0</v>
      </c>
      <c r="U63" s="122"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Row],[_Row]])="",TRUE()),"",INDEX(tsk_ResourceNames,GanttView[[#This Row],[_Row]])&amp;"")</f>
        <v/>
      </c>
      <c r="K64" s="117" t="str">
        <f aca="false">IF(IFERROR(INDEX(tsk_Name,GanttView[[#This Row],[_Row]])="",TRUE()),"",INDEX(tsk_Status,GanttView[[#This Row],[_Row]]))</f>
        <v/>
      </c>
      <c r="L64" s="121" t="n">
        <f aca="false">ROW()-ROW(GanttView[[#Headers],[ID]])</f>
        <v>59</v>
      </c>
      <c r="M64" s="122" t="b">
        <f aca="false">IF(IFERROR(INDEX(tsk_Name,GanttView[[#This Row],[_Row]])="",TRUE()),FALSE(),INDEX(tsk_IsSummary,GanttView[[#This Row],[_Row]]))</f>
        <v>0</v>
      </c>
      <c r="N64" s="122" t="b">
        <f aca="false">IF(IFERROR(INDEX(tsk_Name,GanttView[[#This Row],[_Row]])="",TRUE()),FALSE(),AND(INDEX(tsk_IsLeaf,GanttView[[#This Row],[_Row]])=1,N(INDEX(tsk_Duration,GanttView[[#This Row],[_Row]]))=0))</f>
        <v>0</v>
      </c>
      <c r="O64" s="123" t="n">
        <f aca="false">IF(IFERROR(INDEX(tsk_Name,GanttView[[#This Row],[_Row]])="",TRUE()),0,IF(AND(INDEX(tsk_IsLeaf,GanttView[[#This Row],[_Row]])=1,NOT(GanttView[[#This Row],[_IsMilestone]]),N(GanttView[[#This Row],[%]])&gt;0),GanttView[[#This Row],[Forecast Start]],0))</f>
        <v>0</v>
      </c>
      <c r="P64" s="123" t="n">
        <f aca="false">IF(GanttView[[#This Row],[_DoneFrom]]=0,0,IF(GanttView[[#This Row],[%]]&gt;=1,GanttView[[#This Row],[Forecast Finish]],MAX(GanttView[[#This Row],[_DoneFrom]],GanttView[[#This Row],[Forecast Start]]+ROUND((GanttView[[#This Row],[Forecast Finish]]-GanttView[[#This Row],[Forecast Start]]+1)*GanttView[[#This Row],[%]],0)-1)))</f>
        <v>0</v>
      </c>
      <c r="Q64" s="123" t="n">
        <f aca="false">IF(IFERROR(INDEX(tsk_Name,GanttView[[#This Row],[_Row]])="",TRUE()),0,IF(OR(INDEX(tsk_IsLeaf,GanttView[[#This Row],[_Row]])&lt;&gt;1,GanttView[[#This Row],[_IsMilestone]],N(GanttView[[#This Row],[%]])&gt;=1),0,IF(GanttView[[#This Row],[_DoneTo]]&gt;0,GanttView[[#This Row],[_DoneTo]]+1,GanttView[[#This Row],[Forecast Start]])))</f>
        <v>0</v>
      </c>
      <c r="R64" s="123" t="n">
        <f aca="false">IF(GanttView[[#This Row],[_RemFrom]]=0,0,GanttView[[#This Row],[Forecast Finish]])</f>
        <v>0</v>
      </c>
      <c r="S64" s="122" t="b">
        <f aca="false">IF(IFERROR(INDEX(tsk_Name,GanttView[[#This Row],[_Row]])="",TRUE()),FALSE(),N(INDEX(tsk_Variance,GanttView[[#This Row],[_Row]]))&gt;0)</f>
        <v>0</v>
      </c>
      <c r="T64" s="123" t="n">
        <f aca="false">IF(IFERROR(INDEX(tsk_Name,GanttView[[#This Row],[_Row]])="",TRUE()),0,N(INDEX(tsk_Deadline,GanttView[[#This Row],[_Row]])))</f>
        <v>0</v>
      </c>
      <c r="U64" s="122"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Row],[_Row]])="",TRUE()),"",INDEX(tsk_ResourceNames,GanttView[[#This Row],[_Row]])&amp;"")</f>
        <v/>
      </c>
      <c r="K65" s="117" t="str">
        <f aca="false">IF(IFERROR(INDEX(tsk_Name,GanttView[[#This Row],[_Row]])="",TRUE()),"",INDEX(tsk_Status,GanttView[[#This Row],[_Row]]))</f>
        <v/>
      </c>
      <c r="L65" s="121" t="n">
        <f aca="false">ROW()-ROW(GanttView[[#Headers],[ID]])</f>
        <v>60</v>
      </c>
      <c r="M65" s="122" t="b">
        <f aca="false">IF(IFERROR(INDEX(tsk_Name,GanttView[[#This Row],[_Row]])="",TRUE()),FALSE(),INDEX(tsk_IsSummary,GanttView[[#This Row],[_Row]]))</f>
        <v>0</v>
      </c>
      <c r="N65" s="122" t="b">
        <f aca="false">IF(IFERROR(INDEX(tsk_Name,GanttView[[#This Row],[_Row]])="",TRUE()),FALSE(),AND(INDEX(tsk_IsLeaf,GanttView[[#This Row],[_Row]])=1,N(INDEX(tsk_Duration,GanttView[[#This Row],[_Row]]))=0))</f>
        <v>0</v>
      </c>
      <c r="O65" s="123" t="n">
        <f aca="false">IF(IFERROR(INDEX(tsk_Name,GanttView[[#This Row],[_Row]])="",TRUE()),0,IF(AND(INDEX(tsk_IsLeaf,GanttView[[#This Row],[_Row]])=1,NOT(GanttView[[#This Row],[_IsMilestone]]),N(GanttView[[#This Row],[%]])&gt;0),GanttView[[#This Row],[Forecast Start]],0))</f>
        <v>0</v>
      </c>
      <c r="P65" s="123" t="n">
        <f aca="false">IF(GanttView[[#This Row],[_DoneFrom]]=0,0,IF(GanttView[[#This Row],[%]]&gt;=1,GanttView[[#This Row],[Forecast Finish]],MAX(GanttView[[#This Row],[_DoneFrom]],GanttView[[#This Row],[Forecast Start]]+ROUND((GanttView[[#This Row],[Forecast Finish]]-GanttView[[#This Row],[Forecast Start]]+1)*GanttView[[#This Row],[%]],0)-1)))</f>
        <v>0</v>
      </c>
      <c r="Q65" s="123" t="n">
        <f aca="false">IF(IFERROR(INDEX(tsk_Name,GanttView[[#This Row],[_Row]])="",TRUE()),0,IF(OR(INDEX(tsk_IsLeaf,GanttView[[#This Row],[_Row]])&lt;&gt;1,GanttView[[#This Row],[_IsMilestone]],N(GanttView[[#This Row],[%]])&gt;=1),0,IF(GanttView[[#This Row],[_DoneTo]]&gt;0,GanttView[[#This Row],[_DoneTo]]+1,GanttView[[#This Row],[Forecast Start]])))</f>
        <v>0</v>
      </c>
      <c r="R65" s="123" t="n">
        <f aca="false">IF(GanttView[[#This Row],[_RemFrom]]=0,0,GanttView[[#This Row],[Forecast Finish]])</f>
        <v>0</v>
      </c>
      <c r="S65" s="122" t="b">
        <f aca="false">IF(IFERROR(INDEX(tsk_Name,GanttView[[#This Row],[_Row]])="",TRUE()),FALSE(),N(INDEX(tsk_Variance,GanttView[[#This Row],[_Row]]))&gt;0)</f>
        <v>0</v>
      </c>
      <c r="T65" s="123" t="n">
        <f aca="false">IF(IFERROR(INDEX(tsk_Name,GanttView[[#This Row],[_Row]])="",TRUE()),0,N(INDEX(tsk_Deadline,GanttView[[#This Row],[_Row]])))</f>
        <v>0</v>
      </c>
      <c r="U65" s="122"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Row],[_Row]])="",TRUE()),"",INDEX(tsk_ResourceNames,GanttView[[#This Row],[_Row]])&amp;"")</f>
        <v/>
      </c>
      <c r="K66" s="117" t="str">
        <f aca="false">IF(IFERROR(INDEX(tsk_Name,GanttView[[#This Row],[_Row]])="",TRUE()),"",INDEX(tsk_Status,GanttView[[#This Row],[_Row]]))</f>
        <v/>
      </c>
      <c r="L66" s="121" t="n">
        <f aca="false">ROW()-ROW(GanttView[[#Headers],[ID]])</f>
        <v>61</v>
      </c>
      <c r="M66" s="122" t="b">
        <f aca="false">IF(IFERROR(INDEX(tsk_Name,GanttView[[#This Row],[_Row]])="",TRUE()),FALSE(),INDEX(tsk_IsSummary,GanttView[[#This Row],[_Row]]))</f>
        <v>0</v>
      </c>
      <c r="N66" s="122" t="b">
        <f aca="false">IF(IFERROR(INDEX(tsk_Name,GanttView[[#This Row],[_Row]])="",TRUE()),FALSE(),AND(INDEX(tsk_IsLeaf,GanttView[[#This Row],[_Row]])=1,N(INDEX(tsk_Duration,GanttView[[#This Row],[_Row]]))=0))</f>
        <v>0</v>
      </c>
      <c r="O66" s="123" t="n">
        <f aca="false">IF(IFERROR(INDEX(tsk_Name,GanttView[[#This Row],[_Row]])="",TRUE()),0,IF(AND(INDEX(tsk_IsLeaf,GanttView[[#This Row],[_Row]])=1,NOT(GanttView[[#This Row],[_IsMilestone]]),N(GanttView[[#This Row],[%]])&gt;0),GanttView[[#This Row],[Forecast Start]],0))</f>
        <v>0</v>
      </c>
      <c r="P66" s="123" t="n">
        <f aca="false">IF(GanttView[[#This Row],[_DoneFrom]]=0,0,IF(GanttView[[#This Row],[%]]&gt;=1,GanttView[[#This Row],[Forecast Finish]],MAX(GanttView[[#This Row],[_DoneFrom]],GanttView[[#This Row],[Forecast Start]]+ROUND((GanttView[[#This Row],[Forecast Finish]]-GanttView[[#This Row],[Forecast Start]]+1)*GanttView[[#This Row],[%]],0)-1)))</f>
        <v>0</v>
      </c>
      <c r="Q66" s="123" t="n">
        <f aca="false">IF(IFERROR(INDEX(tsk_Name,GanttView[[#This Row],[_Row]])="",TRUE()),0,IF(OR(INDEX(tsk_IsLeaf,GanttView[[#This Row],[_Row]])&lt;&gt;1,GanttView[[#This Row],[_IsMilestone]],N(GanttView[[#This Row],[%]])&gt;=1),0,IF(GanttView[[#This Row],[_DoneTo]]&gt;0,GanttView[[#This Row],[_DoneTo]]+1,GanttView[[#This Row],[Forecast Start]])))</f>
        <v>0</v>
      </c>
      <c r="R66" s="123" t="n">
        <f aca="false">IF(GanttView[[#This Row],[_RemFrom]]=0,0,GanttView[[#This Row],[Forecast Finish]])</f>
        <v>0</v>
      </c>
      <c r="S66" s="122" t="b">
        <f aca="false">IF(IFERROR(INDEX(tsk_Name,GanttView[[#This Row],[_Row]])="",TRUE()),FALSE(),N(INDEX(tsk_Variance,GanttView[[#This Row],[_Row]]))&gt;0)</f>
        <v>0</v>
      </c>
      <c r="T66" s="123" t="n">
        <f aca="false">IF(IFERROR(INDEX(tsk_Name,GanttView[[#This Row],[_Row]])="",TRUE()),0,N(INDEX(tsk_Deadline,GanttView[[#This Row],[_Row]])))</f>
        <v>0</v>
      </c>
      <c r="U66" s="122"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Row],[_Row]])="",TRUE()),"",INDEX(tsk_ResourceNames,GanttView[[#This Row],[_Row]])&amp;"")</f>
        <v/>
      </c>
      <c r="K67" s="117" t="str">
        <f aca="false">IF(IFERROR(INDEX(tsk_Name,GanttView[[#This Row],[_Row]])="",TRUE()),"",INDEX(tsk_Status,GanttView[[#This Row],[_Row]]))</f>
        <v/>
      </c>
      <c r="L67" s="121" t="n">
        <f aca="false">ROW()-ROW(GanttView[[#Headers],[ID]])</f>
        <v>62</v>
      </c>
      <c r="M67" s="122" t="b">
        <f aca="false">IF(IFERROR(INDEX(tsk_Name,GanttView[[#This Row],[_Row]])="",TRUE()),FALSE(),INDEX(tsk_IsSummary,GanttView[[#This Row],[_Row]]))</f>
        <v>0</v>
      </c>
      <c r="N67" s="122" t="b">
        <f aca="false">IF(IFERROR(INDEX(tsk_Name,GanttView[[#This Row],[_Row]])="",TRUE()),FALSE(),AND(INDEX(tsk_IsLeaf,GanttView[[#This Row],[_Row]])=1,N(INDEX(tsk_Duration,GanttView[[#This Row],[_Row]]))=0))</f>
        <v>0</v>
      </c>
      <c r="O67" s="123" t="n">
        <f aca="false">IF(IFERROR(INDEX(tsk_Name,GanttView[[#This Row],[_Row]])="",TRUE()),0,IF(AND(INDEX(tsk_IsLeaf,GanttView[[#This Row],[_Row]])=1,NOT(GanttView[[#This Row],[_IsMilestone]]),N(GanttView[[#This Row],[%]])&gt;0),GanttView[[#This Row],[Forecast Start]],0))</f>
        <v>0</v>
      </c>
      <c r="P67" s="123" t="n">
        <f aca="false">IF(GanttView[[#This Row],[_DoneFrom]]=0,0,IF(GanttView[[#This Row],[%]]&gt;=1,GanttView[[#This Row],[Forecast Finish]],MAX(GanttView[[#This Row],[_DoneFrom]],GanttView[[#This Row],[Forecast Start]]+ROUND((GanttView[[#This Row],[Forecast Finish]]-GanttView[[#This Row],[Forecast Start]]+1)*GanttView[[#This Row],[%]],0)-1)))</f>
        <v>0</v>
      </c>
      <c r="Q67" s="123" t="n">
        <f aca="false">IF(IFERROR(INDEX(tsk_Name,GanttView[[#This Row],[_Row]])="",TRUE()),0,IF(OR(INDEX(tsk_IsLeaf,GanttView[[#This Row],[_Row]])&lt;&gt;1,GanttView[[#This Row],[_IsMilestone]],N(GanttView[[#This Row],[%]])&gt;=1),0,IF(GanttView[[#This Row],[_DoneTo]]&gt;0,GanttView[[#This Row],[_DoneTo]]+1,GanttView[[#This Row],[Forecast Start]])))</f>
        <v>0</v>
      </c>
      <c r="R67" s="123" t="n">
        <f aca="false">IF(GanttView[[#This Row],[_RemFrom]]=0,0,GanttView[[#This Row],[Forecast Finish]])</f>
        <v>0</v>
      </c>
      <c r="S67" s="122" t="b">
        <f aca="false">IF(IFERROR(INDEX(tsk_Name,GanttView[[#This Row],[_Row]])="",TRUE()),FALSE(),N(INDEX(tsk_Variance,GanttView[[#This Row],[_Row]]))&gt;0)</f>
        <v>0</v>
      </c>
      <c r="T67" s="123" t="n">
        <f aca="false">IF(IFERROR(INDEX(tsk_Name,GanttView[[#This Row],[_Row]])="",TRUE()),0,N(INDEX(tsk_Deadline,GanttView[[#This Row],[_Row]])))</f>
        <v>0</v>
      </c>
      <c r="U67" s="122"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Row],[_Row]])="",TRUE()),"",INDEX(tsk_ResourceNames,GanttView[[#This Row],[_Row]])&amp;"")</f>
        <v/>
      </c>
      <c r="K68" s="117" t="str">
        <f aca="false">IF(IFERROR(INDEX(tsk_Name,GanttView[[#This Row],[_Row]])="",TRUE()),"",INDEX(tsk_Status,GanttView[[#This Row],[_Row]]))</f>
        <v/>
      </c>
      <c r="L68" s="121" t="n">
        <f aca="false">ROW()-ROW(GanttView[[#Headers],[ID]])</f>
        <v>63</v>
      </c>
      <c r="M68" s="122" t="b">
        <f aca="false">IF(IFERROR(INDEX(tsk_Name,GanttView[[#This Row],[_Row]])="",TRUE()),FALSE(),INDEX(tsk_IsSummary,GanttView[[#This Row],[_Row]]))</f>
        <v>0</v>
      </c>
      <c r="N68" s="122" t="b">
        <f aca="false">IF(IFERROR(INDEX(tsk_Name,GanttView[[#This Row],[_Row]])="",TRUE()),FALSE(),AND(INDEX(tsk_IsLeaf,GanttView[[#This Row],[_Row]])=1,N(INDEX(tsk_Duration,GanttView[[#This Row],[_Row]]))=0))</f>
        <v>0</v>
      </c>
      <c r="O68" s="123" t="n">
        <f aca="false">IF(IFERROR(INDEX(tsk_Name,GanttView[[#This Row],[_Row]])="",TRUE()),0,IF(AND(INDEX(tsk_IsLeaf,GanttView[[#This Row],[_Row]])=1,NOT(GanttView[[#This Row],[_IsMilestone]]),N(GanttView[[#This Row],[%]])&gt;0),GanttView[[#This Row],[Forecast Start]],0))</f>
        <v>0</v>
      </c>
      <c r="P68" s="123" t="n">
        <f aca="false">IF(GanttView[[#This Row],[_DoneFrom]]=0,0,IF(GanttView[[#This Row],[%]]&gt;=1,GanttView[[#This Row],[Forecast Finish]],MAX(GanttView[[#This Row],[_DoneFrom]],GanttView[[#This Row],[Forecast Start]]+ROUND((GanttView[[#This Row],[Forecast Finish]]-GanttView[[#This Row],[Forecast Start]]+1)*GanttView[[#This Row],[%]],0)-1)))</f>
        <v>0</v>
      </c>
      <c r="Q68" s="123" t="n">
        <f aca="false">IF(IFERROR(INDEX(tsk_Name,GanttView[[#This Row],[_Row]])="",TRUE()),0,IF(OR(INDEX(tsk_IsLeaf,GanttView[[#This Row],[_Row]])&lt;&gt;1,GanttView[[#This Row],[_IsMilestone]],N(GanttView[[#This Row],[%]])&gt;=1),0,IF(GanttView[[#This Row],[_DoneTo]]&gt;0,GanttView[[#This Row],[_DoneTo]]+1,GanttView[[#This Row],[Forecast Start]])))</f>
        <v>0</v>
      </c>
      <c r="R68" s="123" t="n">
        <f aca="false">IF(GanttView[[#This Row],[_RemFrom]]=0,0,GanttView[[#This Row],[Forecast Finish]])</f>
        <v>0</v>
      </c>
      <c r="S68" s="122" t="b">
        <f aca="false">IF(IFERROR(INDEX(tsk_Name,GanttView[[#This Row],[_Row]])="",TRUE()),FALSE(),N(INDEX(tsk_Variance,GanttView[[#This Row],[_Row]]))&gt;0)</f>
        <v>0</v>
      </c>
      <c r="T68" s="123" t="n">
        <f aca="false">IF(IFERROR(INDEX(tsk_Name,GanttView[[#This Row],[_Row]])="",TRUE()),0,N(INDEX(tsk_Deadline,GanttView[[#This Row],[_Row]])))</f>
        <v>0</v>
      </c>
      <c r="U68" s="122"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Row],[_Row]])="",TRUE()),"",INDEX(tsk_ResourceNames,GanttView[[#This Row],[_Row]])&amp;"")</f>
        <v/>
      </c>
      <c r="K69" s="117" t="str">
        <f aca="false">IF(IFERROR(INDEX(tsk_Name,GanttView[[#This Row],[_Row]])="",TRUE()),"",INDEX(tsk_Status,GanttView[[#This Row],[_Row]]))</f>
        <v/>
      </c>
      <c r="L69" s="121" t="n">
        <f aca="false">ROW()-ROW(GanttView[[#Headers],[ID]])</f>
        <v>64</v>
      </c>
      <c r="M69" s="122" t="b">
        <f aca="false">IF(IFERROR(INDEX(tsk_Name,GanttView[[#This Row],[_Row]])="",TRUE()),FALSE(),INDEX(tsk_IsSummary,GanttView[[#This Row],[_Row]]))</f>
        <v>0</v>
      </c>
      <c r="N69" s="122" t="b">
        <f aca="false">IF(IFERROR(INDEX(tsk_Name,GanttView[[#This Row],[_Row]])="",TRUE()),FALSE(),AND(INDEX(tsk_IsLeaf,GanttView[[#This Row],[_Row]])=1,N(INDEX(tsk_Duration,GanttView[[#This Row],[_Row]]))=0))</f>
        <v>0</v>
      </c>
      <c r="O69" s="123" t="n">
        <f aca="false">IF(IFERROR(INDEX(tsk_Name,GanttView[[#This Row],[_Row]])="",TRUE()),0,IF(AND(INDEX(tsk_IsLeaf,GanttView[[#This Row],[_Row]])=1,NOT(GanttView[[#This Row],[_IsMilestone]]),N(GanttView[[#This Row],[%]])&gt;0),GanttView[[#This Row],[Forecast Start]],0))</f>
        <v>0</v>
      </c>
      <c r="P69" s="123" t="n">
        <f aca="false">IF(GanttView[[#This Row],[_DoneFrom]]=0,0,IF(GanttView[[#This Row],[%]]&gt;=1,GanttView[[#This Row],[Forecast Finish]],MAX(GanttView[[#This Row],[_DoneFrom]],GanttView[[#This Row],[Forecast Start]]+ROUND((GanttView[[#This Row],[Forecast Finish]]-GanttView[[#This Row],[Forecast Start]]+1)*GanttView[[#This Row],[%]],0)-1)))</f>
        <v>0</v>
      </c>
      <c r="Q69" s="123" t="n">
        <f aca="false">IF(IFERROR(INDEX(tsk_Name,GanttView[[#This Row],[_Row]])="",TRUE()),0,IF(OR(INDEX(tsk_IsLeaf,GanttView[[#This Row],[_Row]])&lt;&gt;1,GanttView[[#This Row],[_IsMilestone]],N(GanttView[[#This Row],[%]])&gt;=1),0,IF(GanttView[[#This Row],[_DoneTo]]&gt;0,GanttView[[#This Row],[_DoneTo]]+1,GanttView[[#This Row],[Forecast Start]])))</f>
        <v>0</v>
      </c>
      <c r="R69" s="123" t="n">
        <f aca="false">IF(GanttView[[#This Row],[_RemFrom]]=0,0,GanttView[[#This Row],[Forecast Finish]])</f>
        <v>0</v>
      </c>
      <c r="S69" s="122" t="b">
        <f aca="false">IF(IFERROR(INDEX(tsk_Name,GanttView[[#This Row],[_Row]])="",TRUE()),FALSE(),N(INDEX(tsk_Variance,GanttView[[#This Row],[_Row]]))&gt;0)</f>
        <v>0</v>
      </c>
      <c r="T69" s="123" t="n">
        <f aca="false">IF(IFERROR(INDEX(tsk_Name,GanttView[[#This Row],[_Row]])="",TRUE()),0,N(INDEX(tsk_Deadline,GanttView[[#This Row],[_Row]])))</f>
        <v>0</v>
      </c>
      <c r="U69" s="122"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Row],[_Row]])="",TRUE()),"",INDEX(tsk_ResourceNames,GanttView[[#This Row],[_Row]])&amp;"")</f>
        <v/>
      </c>
      <c r="K70" s="117" t="str">
        <f aca="false">IF(IFERROR(INDEX(tsk_Name,GanttView[[#This Row],[_Row]])="",TRUE()),"",INDEX(tsk_Status,GanttView[[#This Row],[_Row]]))</f>
        <v/>
      </c>
      <c r="L70" s="121" t="n">
        <f aca="false">ROW()-ROW(GanttView[[#Headers],[ID]])</f>
        <v>65</v>
      </c>
      <c r="M70" s="122" t="b">
        <f aca="false">IF(IFERROR(INDEX(tsk_Name,GanttView[[#This Row],[_Row]])="",TRUE()),FALSE(),INDEX(tsk_IsSummary,GanttView[[#This Row],[_Row]]))</f>
        <v>0</v>
      </c>
      <c r="N70" s="122" t="b">
        <f aca="false">IF(IFERROR(INDEX(tsk_Name,GanttView[[#This Row],[_Row]])="",TRUE()),FALSE(),AND(INDEX(tsk_IsLeaf,GanttView[[#This Row],[_Row]])=1,N(INDEX(tsk_Duration,GanttView[[#This Row],[_Row]]))=0))</f>
        <v>0</v>
      </c>
      <c r="O70" s="123" t="n">
        <f aca="false">IF(IFERROR(INDEX(tsk_Name,GanttView[[#This Row],[_Row]])="",TRUE()),0,IF(AND(INDEX(tsk_IsLeaf,GanttView[[#This Row],[_Row]])=1,NOT(GanttView[[#This Row],[_IsMilestone]]),N(GanttView[[#This Row],[%]])&gt;0),GanttView[[#This Row],[Forecast Start]],0))</f>
        <v>0</v>
      </c>
      <c r="P70" s="123" t="n">
        <f aca="false">IF(GanttView[[#This Row],[_DoneFrom]]=0,0,IF(GanttView[[#This Row],[%]]&gt;=1,GanttView[[#This Row],[Forecast Finish]],MAX(GanttView[[#This Row],[_DoneFrom]],GanttView[[#This Row],[Forecast Start]]+ROUND((GanttView[[#This Row],[Forecast Finish]]-GanttView[[#This Row],[Forecast Start]]+1)*GanttView[[#This Row],[%]],0)-1)))</f>
        <v>0</v>
      </c>
      <c r="Q70" s="123" t="n">
        <f aca="false">IF(IFERROR(INDEX(tsk_Name,GanttView[[#This Row],[_Row]])="",TRUE()),0,IF(OR(INDEX(tsk_IsLeaf,GanttView[[#This Row],[_Row]])&lt;&gt;1,GanttView[[#This Row],[_IsMilestone]],N(GanttView[[#This Row],[%]])&gt;=1),0,IF(GanttView[[#This Row],[_DoneTo]]&gt;0,GanttView[[#This Row],[_DoneTo]]+1,GanttView[[#This Row],[Forecast Start]])))</f>
        <v>0</v>
      </c>
      <c r="R70" s="123" t="n">
        <f aca="false">IF(GanttView[[#This Row],[_RemFrom]]=0,0,GanttView[[#This Row],[Forecast Finish]])</f>
        <v>0</v>
      </c>
      <c r="S70" s="122" t="b">
        <f aca="false">IF(IFERROR(INDEX(tsk_Name,GanttView[[#This Row],[_Row]])="",TRUE()),FALSE(),N(INDEX(tsk_Variance,GanttView[[#This Row],[_Row]]))&gt;0)</f>
        <v>0</v>
      </c>
      <c r="T70" s="123" t="n">
        <f aca="false">IF(IFERROR(INDEX(tsk_Name,GanttView[[#This Row],[_Row]])="",TRUE()),0,N(INDEX(tsk_Deadline,GanttView[[#This Row],[_Row]])))</f>
        <v>0</v>
      </c>
      <c r="U70" s="122"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Row],[_Row]])="",TRUE()),"",INDEX(tsk_ResourceNames,GanttView[[#This Row],[_Row]])&amp;"")</f>
        <v/>
      </c>
      <c r="K71" s="117" t="str">
        <f aca="false">IF(IFERROR(INDEX(tsk_Name,GanttView[[#This Row],[_Row]])="",TRUE()),"",INDEX(tsk_Status,GanttView[[#This Row],[_Row]]))</f>
        <v/>
      </c>
      <c r="L71" s="121" t="n">
        <f aca="false">ROW()-ROW(GanttView[[#Headers],[ID]])</f>
        <v>66</v>
      </c>
      <c r="M71" s="122" t="b">
        <f aca="false">IF(IFERROR(INDEX(tsk_Name,GanttView[[#This Row],[_Row]])="",TRUE()),FALSE(),INDEX(tsk_IsSummary,GanttView[[#This Row],[_Row]]))</f>
        <v>0</v>
      </c>
      <c r="N71" s="122" t="b">
        <f aca="false">IF(IFERROR(INDEX(tsk_Name,GanttView[[#This Row],[_Row]])="",TRUE()),FALSE(),AND(INDEX(tsk_IsLeaf,GanttView[[#This Row],[_Row]])=1,N(INDEX(tsk_Duration,GanttView[[#This Row],[_Row]]))=0))</f>
        <v>0</v>
      </c>
      <c r="O71" s="123" t="n">
        <f aca="false">IF(IFERROR(INDEX(tsk_Name,GanttView[[#This Row],[_Row]])="",TRUE()),0,IF(AND(INDEX(tsk_IsLeaf,GanttView[[#This Row],[_Row]])=1,NOT(GanttView[[#This Row],[_IsMilestone]]),N(GanttView[[#This Row],[%]])&gt;0),GanttView[[#This Row],[Forecast Start]],0))</f>
        <v>0</v>
      </c>
      <c r="P71" s="123" t="n">
        <f aca="false">IF(GanttView[[#This Row],[_DoneFrom]]=0,0,IF(GanttView[[#This Row],[%]]&gt;=1,GanttView[[#This Row],[Forecast Finish]],MAX(GanttView[[#This Row],[_DoneFrom]],GanttView[[#This Row],[Forecast Start]]+ROUND((GanttView[[#This Row],[Forecast Finish]]-GanttView[[#This Row],[Forecast Start]]+1)*GanttView[[#This Row],[%]],0)-1)))</f>
        <v>0</v>
      </c>
      <c r="Q71" s="123" t="n">
        <f aca="false">IF(IFERROR(INDEX(tsk_Name,GanttView[[#This Row],[_Row]])="",TRUE()),0,IF(OR(INDEX(tsk_IsLeaf,GanttView[[#This Row],[_Row]])&lt;&gt;1,GanttView[[#This Row],[_IsMilestone]],N(GanttView[[#This Row],[%]])&gt;=1),0,IF(GanttView[[#This Row],[_DoneTo]]&gt;0,GanttView[[#This Row],[_DoneTo]]+1,GanttView[[#This Row],[Forecast Start]])))</f>
        <v>0</v>
      </c>
      <c r="R71" s="123" t="n">
        <f aca="false">IF(GanttView[[#This Row],[_RemFrom]]=0,0,GanttView[[#This Row],[Forecast Finish]])</f>
        <v>0</v>
      </c>
      <c r="S71" s="122" t="b">
        <f aca="false">IF(IFERROR(INDEX(tsk_Name,GanttView[[#This Row],[_Row]])="",TRUE()),FALSE(),N(INDEX(tsk_Variance,GanttView[[#This Row],[_Row]]))&gt;0)</f>
        <v>0</v>
      </c>
      <c r="T71" s="123" t="n">
        <f aca="false">IF(IFERROR(INDEX(tsk_Name,GanttView[[#This Row],[_Row]])="",TRUE()),0,N(INDEX(tsk_Deadline,GanttView[[#This Row],[_Row]])))</f>
        <v>0</v>
      </c>
      <c r="U71" s="122"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Row],[_Row]])="",TRUE()),"",INDEX(tsk_ResourceNames,GanttView[[#This Row],[_Row]])&amp;"")</f>
        <v/>
      </c>
      <c r="K72" s="117" t="str">
        <f aca="false">IF(IFERROR(INDEX(tsk_Name,GanttView[[#This Row],[_Row]])="",TRUE()),"",INDEX(tsk_Status,GanttView[[#This Row],[_Row]]))</f>
        <v/>
      </c>
      <c r="L72" s="121" t="n">
        <f aca="false">ROW()-ROW(GanttView[[#Headers],[ID]])</f>
        <v>67</v>
      </c>
      <c r="M72" s="122" t="b">
        <f aca="false">IF(IFERROR(INDEX(tsk_Name,GanttView[[#This Row],[_Row]])="",TRUE()),FALSE(),INDEX(tsk_IsSummary,GanttView[[#This Row],[_Row]]))</f>
        <v>0</v>
      </c>
      <c r="N72" s="122" t="b">
        <f aca="false">IF(IFERROR(INDEX(tsk_Name,GanttView[[#This Row],[_Row]])="",TRUE()),FALSE(),AND(INDEX(tsk_IsLeaf,GanttView[[#This Row],[_Row]])=1,N(INDEX(tsk_Duration,GanttView[[#This Row],[_Row]]))=0))</f>
        <v>0</v>
      </c>
      <c r="O72" s="123" t="n">
        <f aca="false">IF(IFERROR(INDEX(tsk_Name,GanttView[[#This Row],[_Row]])="",TRUE()),0,IF(AND(INDEX(tsk_IsLeaf,GanttView[[#This Row],[_Row]])=1,NOT(GanttView[[#This Row],[_IsMilestone]]),N(GanttView[[#This Row],[%]])&gt;0),GanttView[[#This Row],[Forecast Start]],0))</f>
        <v>0</v>
      </c>
      <c r="P72" s="123" t="n">
        <f aca="false">IF(GanttView[[#This Row],[_DoneFrom]]=0,0,IF(GanttView[[#This Row],[%]]&gt;=1,GanttView[[#This Row],[Forecast Finish]],MAX(GanttView[[#This Row],[_DoneFrom]],GanttView[[#This Row],[Forecast Start]]+ROUND((GanttView[[#This Row],[Forecast Finish]]-GanttView[[#This Row],[Forecast Start]]+1)*GanttView[[#This Row],[%]],0)-1)))</f>
        <v>0</v>
      </c>
      <c r="Q72" s="123" t="n">
        <f aca="false">IF(IFERROR(INDEX(tsk_Name,GanttView[[#This Row],[_Row]])="",TRUE()),0,IF(OR(INDEX(tsk_IsLeaf,GanttView[[#This Row],[_Row]])&lt;&gt;1,GanttView[[#This Row],[_IsMilestone]],N(GanttView[[#This Row],[%]])&gt;=1),0,IF(GanttView[[#This Row],[_DoneTo]]&gt;0,GanttView[[#This Row],[_DoneTo]]+1,GanttView[[#This Row],[Forecast Start]])))</f>
        <v>0</v>
      </c>
      <c r="R72" s="123" t="n">
        <f aca="false">IF(GanttView[[#This Row],[_RemFrom]]=0,0,GanttView[[#This Row],[Forecast Finish]])</f>
        <v>0</v>
      </c>
      <c r="S72" s="122" t="b">
        <f aca="false">IF(IFERROR(INDEX(tsk_Name,GanttView[[#This Row],[_Row]])="",TRUE()),FALSE(),N(INDEX(tsk_Variance,GanttView[[#This Row],[_Row]]))&gt;0)</f>
        <v>0</v>
      </c>
      <c r="T72" s="123" t="n">
        <f aca="false">IF(IFERROR(INDEX(tsk_Name,GanttView[[#This Row],[_Row]])="",TRUE()),0,N(INDEX(tsk_Deadline,GanttView[[#This Row],[_Row]])))</f>
        <v>0</v>
      </c>
      <c r="U72" s="122"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Row],[_Row]])="",TRUE()),"",INDEX(tsk_ResourceNames,GanttView[[#This Row],[_Row]])&amp;"")</f>
        <v/>
      </c>
      <c r="K73" s="117" t="str">
        <f aca="false">IF(IFERROR(INDEX(tsk_Name,GanttView[[#This Row],[_Row]])="",TRUE()),"",INDEX(tsk_Status,GanttView[[#This Row],[_Row]]))</f>
        <v/>
      </c>
      <c r="L73" s="121" t="n">
        <f aca="false">ROW()-ROW(GanttView[[#Headers],[ID]])</f>
        <v>68</v>
      </c>
      <c r="M73" s="122" t="b">
        <f aca="false">IF(IFERROR(INDEX(tsk_Name,GanttView[[#This Row],[_Row]])="",TRUE()),FALSE(),INDEX(tsk_IsSummary,GanttView[[#This Row],[_Row]]))</f>
        <v>0</v>
      </c>
      <c r="N73" s="122" t="b">
        <f aca="false">IF(IFERROR(INDEX(tsk_Name,GanttView[[#This Row],[_Row]])="",TRUE()),FALSE(),AND(INDEX(tsk_IsLeaf,GanttView[[#This Row],[_Row]])=1,N(INDEX(tsk_Duration,GanttView[[#This Row],[_Row]]))=0))</f>
        <v>0</v>
      </c>
      <c r="O73" s="123" t="n">
        <f aca="false">IF(IFERROR(INDEX(tsk_Name,GanttView[[#This Row],[_Row]])="",TRUE()),0,IF(AND(INDEX(tsk_IsLeaf,GanttView[[#This Row],[_Row]])=1,NOT(GanttView[[#This Row],[_IsMilestone]]),N(GanttView[[#This Row],[%]])&gt;0),GanttView[[#This Row],[Forecast Start]],0))</f>
        <v>0</v>
      </c>
      <c r="P73" s="123" t="n">
        <f aca="false">IF(GanttView[[#This Row],[_DoneFrom]]=0,0,IF(GanttView[[#This Row],[%]]&gt;=1,GanttView[[#This Row],[Forecast Finish]],MAX(GanttView[[#This Row],[_DoneFrom]],GanttView[[#This Row],[Forecast Start]]+ROUND((GanttView[[#This Row],[Forecast Finish]]-GanttView[[#This Row],[Forecast Start]]+1)*GanttView[[#This Row],[%]],0)-1)))</f>
        <v>0</v>
      </c>
      <c r="Q73" s="123" t="n">
        <f aca="false">IF(IFERROR(INDEX(tsk_Name,GanttView[[#This Row],[_Row]])="",TRUE()),0,IF(OR(INDEX(tsk_IsLeaf,GanttView[[#This Row],[_Row]])&lt;&gt;1,GanttView[[#This Row],[_IsMilestone]],N(GanttView[[#This Row],[%]])&gt;=1),0,IF(GanttView[[#This Row],[_DoneTo]]&gt;0,GanttView[[#This Row],[_DoneTo]]+1,GanttView[[#This Row],[Forecast Start]])))</f>
        <v>0</v>
      </c>
      <c r="R73" s="123" t="n">
        <f aca="false">IF(GanttView[[#This Row],[_RemFrom]]=0,0,GanttView[[#This Row],[Forecast Finish]])</f>
        <v>0</v>
      </c>
      <c r="S73" s="122" t="b">
        <f aca="false">IF(IFERROR(INDEX(tsk_Name,GanttView[[#This Row],[_Row]])="",TRUE()),FALSE(),N(INDEX(tsk_Variance,GanttView[[#This Row],[_Row]]))&gt;0)</f>
        <v>0</v>
      </c>
      <c r="T73" s="123" t="n">
        <f aca="false">IF(IFERROR(INDEX(tsk_Name,GanttView[[#This Row],[_Row]])="",TRUE()),0,N(INDEX(tsk_Deadline,GanttView[[#This Row],[_Row]])))</f>
        <v>0</v>
      </c>
      <c r="U73" s="122"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Row],[_Row]])="",TRUE()),"",INDEX(tsk_ResourceNames,GanttView[[#This Row],[_Row]])&amp;"")</f>
        <v/>
      </c>
      <c r="K74" s="117" t="str">
        <f aca="false">IF(IFERROR(INDEX(tsk_Name,GanttView[[#This Row],[_Row]])="",TRUE()),"",INDEX(tsk_Status,GanttView[[#This Row],[_Row]]))</f>
        <v/>
      </c>
      <c r="L74" s="121" t="n">
        <f aca="false">ROW()-ROW(GanttView[[#Headers],[ID]])</f>
        <v>69</v>
      </c>
      <c r="M74" s="122" t="b">
        <f aca="false">IF(IFERROR(INDEX(tsk_Name,GanttView[[#This Row],[_Row]])="",TRUE()),FALSE(),INDEX(tsk_IsSummary,GanttView[[#This Row],[_Row]]))</f>
        <v>0</v>
      </c>
      <c r="N74" s="122" t="b">
        <f aca="false">IF(IFERROR(INDEX(tsk_Name,GanttView[[#This Row],[_Row]])="",TRUE()),FALSE(),AND(INDEX(tsk_IsLeaf,GanttView[[#This Row],[_Row]])=1,N(INDEX(tsk_Duration,GanttView[[#This Row],[_Row]]))=0))</f>
        <v>0</v>
      </c>
      <c r="O74" s="123" t="n">
        <f aca="false">IF(IFERROR(INDEX(tsk_Name,GanttView[[#This Row],[_Row]])="",TRUE()),0,IF(AND(INDEX(tsk_IsLeaf,GanttView[[#This Row],[_Row]])=1,NOT(GanttView[[#This Row],[_IsMilestone]]),N(GanttView[[#This Row],[%]])&gt;0),GanttView[[#This Row],[Forecast Start]],0))</f>
        <v>0</v>
      </c>
      <c r="P74" s="123" t="n">
        <f aca="false">IF(GanttView[[#This Row],[_DoneFrom]]=0,0,IF(GanttView[[#This Row],[%]]&gt;=1,GanttView[[#This Row],[Forecast Finish]],MAX(GanttView[[#This Row],[_DoneFrom]],GanttView[[#This Row],[Forecast Start]]+ROUND((GanttView[[#This Row],[Forecast Finish]]-GanttView[[#This Row],[Forecast Start]]+1)*GanttView[[#This Row],[%]],0)-1)))</f>
        <v>0</v>
      </c>
      <c r="Q74" s="123" t="n">
        <f aca="false">IF(IFERROR(INDEX(tsk_Name,GanttView[[#This Row],[_Row]])="",TRUE()),0,IF(OR(INDEX(tsk_IsLeaf,GanttView[[#This Row],[_Row]])&lt;&gt;1,GanttView[[#This Row],[_IsMilestone]],N(GanttView[[#This Row],[%]])&gt;=1),0,IF(GanttView[[#This Row],[_DoneTo]]&gt;0,GanttView[[#This Row],[_DoneTo]]+1,GanttView[[#This Row],[Forecast Start]])))</f>
        <v>0</v>
      </c>
      <c r="R74" s="123" t="n">
        <f aca="false">IF(GanttView[[#This Row],[_RemFrom]]=0,0,GanttView[[#This Row],[Forecast Finish]])</f>
        <v>0</v>
      </c>
      <c r="S74" s="122" t="b">
        <f aca="false">IF(IFERROR(INDEX(tsk_Name,GanttView[[#This Row],[_Row]])="",TRUE()),FALSE(),N(INDEX(tsk_Variance,GanttView[[#This Row],[_Row]]))&gt;0)</f>
        <v>0</v>
      </c>
      <c r="T74" s="123" t="n">
        <f aca="false">IF(IFERROR(INDEX(tsk_Name,GanttView[[#This Row],[_Row]])="",TRUE()),0,N(INDEX(tsk_Deadline,GanttView[[#This Row],[_Row]])))</f>
        <v>0</v>
      </c>
      <c r="U74" s="122"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Row],[_Row]])="",TRUE()),"",INDEX(tsk_ResourceNames,GanttView[[#This Row],[_Row]])&amp;"")</f>
        <v/>
      </c>
      <c r="K75" s="117" t="str">
        <f aca="false">IF(IFERROR(INDEX(tsk_Name,GanttView[[#This Row],[_Row]])="",TRUE()),"",INDEX(tsk_Status,GanttView[[#This Row],[_Row]]))</f>
        <v/>
      </c>
      <c r="L75" s="121" t="n">
        <f aca="false">ROW()-ROW(GanttView[[#Headers],[ID]])</f>
        <v>70</v>
      </c>
      <c r="M75" s="122" t="b">
        <f aca="false">IF(IFERROR(INDEX(tsk_Name,GanttView[[#This Row],[_Row]])="",TRUE()),FALSE(),INDEX(tsk_IsSummary,GanttView[[#This Row],[_Row]]))</f>
        <v>0</v>
      </c>
      <c r="N75" s="122" t="b">
        <f aca="false">IF(IFERROR(INDEX(tsk_Name,GanttView[[#This Row],[_Row]])="",TRUE()),FALSE(),AND(INDEX(tsk_IsLeaf,GanttView[[#This Row],[_Row]])=1,N(INDEX(tsk_Duration,GanttView[[#This Row],[_Row]]))=0))</f>
        <v>0</v>
      </c>
      <c r="O75" s="123" t="n">
        <f aca="false">IF(IFERROR(INDEX(tsk_Name,GanttView[[#This Row],[_Row]])="",TRUE()),0,IF(AND(INDEX(tsk_IsLeaf,GanttView[[#This Row],[_Row]])=1,NOT(GanttView[[#This Row],[_IsMilestone]]),N(GanttView[[#This Row],[%]])&gt;0),GanttView[[#This Row],[Forecast Start]],0))</f>
        <v>0</v>
      </c>
      <c r="P75" s="123" t="n">
        <f aca="false">IF(GanttView[[#This Row],[_DoneFrom]]=0,0,IF(GanttView[[#This Row],[%]]&gt;=1,GanttView[[#This Row],[Forecast Finish]],MAX(GanttView[[#This Row],[_DoneFrom]],GanttView[[#This Row],[Forecast Start]]+ROUND((GanttView[[#This Row],[Forecast Finish]]-GanttView[[#This Row],[Forecast Start]]+1)*GanttView[[#This Row],[%]],0)-1)))</f>
        <v>0</v>
      </c>
      <c r="Q75" s="123" t="n">
        <f aca="false">IF(IFERROR(INDEX(tsk_Name,GanttView[[#This Row],[_Row]])="",TRUE()),0,IF(OR(INDEX(tsk_IsLeaf,GanttView[[#This Row],[_Row]])&lt;&gt;1,GanttView[[#This Row],[_IsMilestone]],N(GanttView[[#This Row],[%]])&gt;=1),0,IF(GanttView[[#This Row],[_DoneTo]]&gt;0,GanttView[[#This Row],[_DoneTo]]+1,GanttView[[#This Row],[Forecast Start]])))</f>
        <v>0</v>
      </c>
      <c r="R75" s="123" t="n">
        <f aca="false">IF(GanttView[[#This Row],[_RemFrom]]=0,0,GanttView[[#This Row],[Forecast Finish]])</f>
        <v>0</v>
      </c>
      <c r="S75" s="122" t="b">
        <f aca="false">IF(IFERROR(INDEX(tsk_Name,GanttView[[#This Row],[_Row]])="",TRUE()),FALSE(),N(INDEX(tsk_Variance,GanttView[[#This Row],[_Row]]))&gt;0)</f>
        <v>0</v>
      </c>
      <c r="T75" s="123" t="n">
        <f aca="false">IF(IFERROR(INDEX(tsk_Name,GanttView[[#This Row],[_Row]])="",TRUE()),0,N(INDEX(tsk_Deadline,GanttView[[#This Row],[_Row]])))</f>
        <v>0</v>
      </c>
      <c r="U75" s="122"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Row],[_Row]])="",TRUE()),"",INDEX(tsk_ResourceNames,GanttView[[#This Row],[_Row]])&amp;"")</f>
        <v/>
      </c>
      <c r="K76" s="117" t="str">
        <f aca="false">IF(IFERROR(INDEX(tsk_Name,GanttView[[#This Row],[_Row]])="",TRUE()),"",INDEX(tsk_Status,GanttView[[#This Row],[_Row]]))</f>
        <v/>
      </c>
      <c r="L76" s="121" t="n">
        <f aca="false">ROW()-ROW(GanttView[[#Headers],[ID]])</f>
        <v>71</v>
      </c>
      <c r="M76" s="122" t="b">
        <f aca="false">IF(IFERROR(INDEX(tsk_Name,GanttView[[#This Row],[_Row]])="",TRUE()),FALSE(),INDEX(tsk_IsSummary,GanttView[[#This Row],[_Row]]))</f>
        <v>0</v>
      </c>
      <c r="N76" s="122" t="b">
        <f aca="false">IF(IFERROR(INDEX(tsk_Name,GanttView[[#This Row],[_Row]])="",TRUE()),FALSE(),AND(INDEX(tsk_IsLeaf,GanttView[[#This Row],[_Row]])=1,N(INDEX(tsk_Duration,GanttView[[#This Row],[_Row]]))=0))</f>
        <v>0</v>
      </c>
      <c r="O76" s="123" t="n">
        <f aca="false">IF(IFERROR(INDEX(tsk_Name,GanttView[[#This Row],[_Row]])="",TRUE()),0,IF(AND(INDEX(tsk_IsLeaf,GanttView[[#This Row],[_Row]])=1,NOT(GanttView[[#This Row],[_IsMilestone]]),N(GanttView[[#This Row],[%]])&gt;0),GanttView[[#This Row],[Forecast Start]],0))</f>
        <v>0</v>
      </c>
      <c r="P76" s="123" t="n">
        <f aca="false">IF(GanttView[[#This Row],[_DoneFrom]]=0,0,IF(GanttView[[#This Row],[%]]&gt;=1,GanttView[[#This Row],[Forecast Finish]],MAX(GanttView[[#This Row],[_DoneFrom]],GanttView[[#This Row],[Forecast Start]]+ROUND((GanttView[[#This Row],[Forecast Finish]]-GanttView[[#This Row],[Forecast Start]]+1)*GanttView[[#This Row],[%]],0)-1)))</f>
        <v>0</v>
      </c>
      <c r="Q76" s="123" t="n">
        <f aca="false">IF(IFERROR(INDEX(tsk_Name,GanttView[[#This Row],[_Row]])="",TRUE()),0,IF(OR(INDEX(tsk_IsLeaf,GanttView[[#This Row],[_Row]])&lt;&gt;1,GanttView[[#This Row],[_IsMilestone]],N(GanttView[[#This Row],[%]])&gt;=1),0,IF(GanttView[[#This Row],[_DoneTo]]&gt;0,GanttView[[#This Row],[_DoneTo]]+1,GanttView[[#This Row],[Forecast Start]])))</f>
        <v>0</v>
      </c>
      <c r="R76" s="123" t="n">
        <f aca="false">IF(GanttView[[#This Row],[_RemFrom]]=0,0,GanttView[[#This Row],[Forecast Finish]])</f>
        <v>0</v>
      </c>
      <c r="S76" s="122" t="b">
        <f aca="false">IF(IFERROR(INDEX(tsk_Name,GanttView[[#This Row],[_Row]])="",TRUE()),FALSE(),N(INDEX(tsk_Variance,GanttView[[#This Row],[_Row]]))&gt;0)</f>
        <v>0</v>
      </c>
      <c r="T76" s="123" t="n">
        <f aca="false">IF(IFERROR(INDEX(tsk_Name,GanttView[[#This Row],[_Row]])="",TRUE()),0,N(INDEX(tsk_Deadline,GanttView[[#This Row],[_Row]])))</f>
        <v>0</v>
      </c>
      <c r="U76" s="122"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Row],[_Row]])="",TRUE()),"",INDEX(tsk_ResourceNames,GanttView[[#This Row],[_Row]])&amp;"")</f>
        <v/>
      </c>
      <c r="K77" s="117" t="str">
        <f aca="false">IF(IFERROR(INDEX(tsk_Name,GanttView[[#This Row],[_Row]])="",TRUE()),"",INDEX(tsk_Status,GanttView[[#This Row],[_Row]]))</f>
        <v/>
      </c>
      <c r="L77" s="121" t="n">
        <f aca="false">ROW()-ROW(GanttView[[#Headers],[ID]])</f>
        <v>72</v>
      </c>
      <c r="M77" s="122" t="b">
        <f aca="false">IF(IFERROR(INDEX(tsk_Name,GanttView[[#This Row],[_Row]])="",TRUE()),FALSE(),INDEX(tsk_IsSummary,GanttView[[#This Row],[_Row]]))</f>
        <v>0</v>
      </c>
      <c r="N77" s="122" t="b">
        <f aca="false">IF(IFERROR(INDEX(tsk_Name,GanttView[[#This Row],[_Row]])="",TRUE()),FALSE(),AND(INDEX(tsk_IsLeaf,GanttView[[#This Row],[_Row]])=1,N(INDEX(tsk_Duration,GanttView[[#This Row],[_Row]]))=0))</f>
        <v>0</v>
      </c>
      <c r="O77" s="123" t="n">
        <f aca="false">IF(IFERROR(INDEX(tsk_Name,GanttView[[#This Row],[_Row]])="",TRUE()),0,IF(AND(INDEX(tsk_IsLeaf,GanttView[[#This Row],[_Row]])=1,NOT(GanttView[[#This Row],[_IsMilestone]]),N(GanttView[[#This Row],[%]])&gt;0),GanttView[[#This Row],[Forecast Start]],0))</f>
        <v>0</v>
      </c>
      <c r="P77" s="123" t="n">
        <f aca="false">IF(GanttView[[#This Row],[_DoneFrom]]=0,0,IF(GanttView[[#This Row],[%]]&gt;=1,GanttView[[#This Row],[Forecast Finish]],MAX(GanttView[[#This Row],[_DoneFrom]],GanttView[[#This Row],[Forecast Start]]+ROUND((GanttView[[#This Row],[Forecast Finish]]-GanttView[[#This Row],[Forecast Start]]+1)*GanttView[[#This Row],[%]],0)-1)))</f>
        <v>0</v>
      </c>
      <c r="Q77" s="123" t="n">
        <f aca="false">IF(IFERROR(INDEX(tsk_Name,GanttView[[#This Row],[_Row]])="",TRUE()),0,IF(OR(INDEX(tsk_IsLeaf,GanttView[[#This Row],[_Row]])&lt;&gt;1,GanttView[[#This Row],[_IsMilestone]],N(GanttView[[#This Row],[%]])&gt;=1),0,IF(GanttView[[#This Row],[_DoneTo]]&gt;0,GanttView[[#This Row],[_DoneTo]]+1,GanttView[[#This Row],[Forecast Start]])))</f>
        <v>0</v>
      </c>
      <c r="R77" s="123" t="n">
        <f aca="false">IF(GanttView[[#This Row],[_RemFrom]]=0,0,GanttView[[#This Row],[Forecast Finish]])</f>
        <v>0</v>
      </c>
      <c r="S77" s="122" t="b">
        <f aca="false">IF(IFERROR(INDEX(tsk_Name,GanttView[[#This Row],[_Row]])="",TRUE()),FALSE(),N(INDEX(tsk_Variance,GanttView[[#This Row],[_Row]]))&gt;0)</f>
        <v>0</v>
      </c>
      <c r="T77" s="123" t="n">
        <f aca="false">IF(IFERROR(INDEX(tsk_Name,GanttView[[#This Row],[_Row]])="",TRUE()),0,N(INDEX(tsk_Deadline,GanttView[[#This Row],[_Row]])))</f>
        <v>0</v>
      </c>
      <c r="U77" s="122"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Row],[_Row]])="",TRUE()),"",INDEX(tsk_ResourceNames,GanttView[[#This Row],[_Row]])&amp;"")</f>
        <v/>
      </c>
      <c r="K78" s="117" t="str">
        <f aca="false">IF(IFERROR(INDEX(tsk_Name,GanttView[[#This Row],[_Row]])="",TRUE()),"",INDEX(tsk_Status,GanttView[[#This Row],[_Row]]))</f>
        <v/>
      </c>
      <c r="L78" s="121" t="n">
        <f aca="false">ROW()-ROW(GanttView[[#Headers],[ID]])</f>
        <v>73</v>
      </c>
      <c r="M78" s="122" t="b">
        <f aca="false">IF(IFERROR(INDEX(tsk_Name,GanttView[[#This Row],[_Row]])="",TRUE()),FALSE(),INDEX(tsk_IsSummary,GanttView[[#This Row],[_Row]]))</f>
        <v>0</v>
      </c>
      <c r="N78" s="122" t="b">
        <f aca="false">IF(IFERROR(INDEX(tsk_Name,GanttView[[#This Row],[_Row]])="",TRUE()),FALSE(),AND(INDEX(tsk_IsLeaf,GanttView[[#This Row],[_Row]])=1,N(INDEX(tsk_Duration,GanttView[[#This Row],[_Row]]))=0))</f>
        <v>0</v>
      </c>
      <c r="O78" s="123" t="n">
        <f aca="false">IF(IFERROR(INDEX(tsk_Name,GanttView[[#This Row],[_Row]])="",TRUE()),0,IF(AND(INDEX(tsk_IsLeaf,GanttView[[#This Row],[_Row]])=1,NOT(GanttView[[#This Row],[_IsMilestone]]),N(GanttView[[#This Row],[%]])&gt;0),GanttView[[#This Row],[Forecast Start]],0))</f>
        <v>0</v>
      </c>
      <c r="P78" s="123" t="n">
        <f aca="false">IF(GanttView[[#This Row],[_DoneFrom]]=0,0,IF(GanttView[[#This Row],[%]]&gt;=1,GanttView[[#This Row],[Forecast Finish]],MAX(GanttView[[#This Row],[_DoneFrom]],GanttView[[#This Row],[Forecast Start]]+ROUND((GanttView[[#This Row],[Forecast Finish]]-GanttView[[#This Row],[Forecast Start]]+1)*GanttView[[#This Row],[%]],0)-1)))</f>
        <v>0</v>
      </c>
      <c r="Q78" s="123" t="n">
        <f aca="false">IF(IFERROR(INDEX(tsk_Name,GanttView[[#This Row],[_Row]])="",TRUE()),0,IF(OR(INDEX(tsk_IsLeaf,GanttView[[#This Row],[_Row]])&lt;&gt;1,GanttView[[#This Row],[_IsMilestone]],N(GanttView[[#This Row],[%]])&gt;=1),0,IF(GanttView[[#This Row],[_DoneTo]]&gt;0,GanttView[[#This Row],[_DoneTo]]+1,GanttView[[#This Row],[Forecast Start]])))</f>
        <v>0</v>
      </c>
      <c r="R78" s="123" t="n">
        <f aca="false">IF(GanttView[[#This Row],[_RemFrom]]=0,0,GanttView[[#This Row],[Forecast Finish]])</f>
        <v>0</v>
      </c>
      <c r="S78" s="122" t="b">
        <f aca="false">IF(IFERROR(INDEX(tsk_Name,GanttView[[#This Row],[_Row]])="",TRUE()),FALSE(),N(INDEX(tsk_Variance,GanttView[[#This Row],[_Row]]))&gt;0)</f>
        <v>0</v>
      </c>
      <c r="T78" s="123" t="n">
        <f aca="false">IF(IFERROR(INDEX(tsk_Name,GanttView[[#This Row],[_Row]])="",TRUE()),0,N(INDEX(tsk_Deadline,GanttView[[#This Row],[_Row]])))</f>
        <v>0</v>
      </c>
      <c r="U78" s="122"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Row],[_Row]])="",TRUE()),"",INDEX(tsk_ResourceNames,GanttView[[#This Row],[_Row]])&amp;"")</f>
        <v/>
      </c>
      <c r="K79" s="117" t="str">
        <f aca="false">IF(IFERROR(INDEX(tsk_Name,GanttView[[#This Row],[_Row]])="",TRUE()),"",INDEX(tsk_Status,GanttView[[#This Row],[_Row]]))</f>
        <v/>
      </c>
      <c r="L79" s="121" t="n">
        <f aca="false">ROW()-ROW(GanttView[[#Headers],[ID]])</f>
        <v>74</v>
      </c>
      <c r="M79" s="122" t="b">
        <f aca="false">IF(IFERROR(INDEX(tsk_Name,GanttView[[#This Row],[_Row]])="",TRUE()),FALSE(),INDEX(tsk_IsSummary,GanttView[[#This Row],[_Row]]))</f>
        <v>0</v>
      </c>
      <c r="N79" s="122" t="b">
        <f aca="false">IF(IFERROR(INDEX(tsk_Name,GanttView[[#This Row],[_Row]])="",TRUE()),FALSE(),AND(INDEX(tsk_IsLeaf,GanttView[[#This Row],[_Row]])=1,N(INDEX(tsk_Duration,GanttView[[#This Row],[_Row]]))=0))</f>
        <v>0</v>
      </c>
      <c r="O79" s="123" t="n">
        <f aca="false">IF(IFERROR(INDEX(tsk_Name,GanttView[[#This Row],[_Row]])="",TRUE()),0,IF(AND(INDEX(tsk_IsLeaf,GanttView[[#This Row],[_Row]])=1,NOT(GanttView[[#This Row],[_IsMilestone]]),N(GanttView[[#This Row],[%]])&gt;0),GanttView[[#This Row],[Forecast Start]],0))</f>
        <v>0</v>
      </c>
      <c r="P79" s="123" t="n">
        <f aca="false">IF(GanttView[[#This Row],[_DoneFrom]]=0,0,IF(GanttView[[#This Row],[%]]&gt;=1,GanttView[[#This Row],[Forecast Finish]],MAX(GanttView[[#This Row],[_DoneFrom]],GanttView[[#This Row],[Forecast Start]]+ROUND((GanttView[[#This Row],[Forecast Finish]]-GanttView[[#This Row],[Forecast Start]]+1)*GanttView[[#This Row],[%]],0)-1)))</f>
        <v>0</v>
      </c>
      <c r="Q79" s="123" t="n">
        <f aca="false">IF(IFERROR(INDEX(tsk_Name,GanttView[[#This Row],[_Row]])="",TRUE()),0,IF(OR(INDEX(tsk_IsLeaf,GanttView[[#This Row],[_Row]])&lt;&gt;1,GanttView[[#This Row],[_IsMilestone]],N(GanttView[[#This Row],[%]])&gt;=1),0,IF(GanttView[[#This Row],[_DoneTo]]&gt;0,GanttView[[#This Row],[_DoneTo]]+1,GanttView[[#This Row],[Forecast Start]])))</f>
        <v>0</v>
      </c>
      <c r="R79" s="123" t="n">
        <f aca="false">IF(GanttView[[#This Row],[_RemFrom]]=0,0,GanttView[[#This Row],[Forecast Finish]])</f>
        <v>0</v>
      </c>
      <c r="S79" s="122" t="b">
        <f aca="false">IF(IFERROR(INDEX(tsk_Name,GanttView[[#This Row],[_Row]])="",TRUE()),FALSE(),N(INDEX(tsk_Variance,GanttView[[#This Row],[_Row]]))&gt;0)</f>
        <v>0</v>
      </c>
      <c r="T79" s="123" t="n">
        <f aca="false">IF(IFERROR(INDEX(tsk_Name,GanttView[[#This Row],[_Row]])="",TRUE()),0,N(INDEX(tsk_Deadline,GanttView[[#This Row],[_Row]])))</f>
        <v>0</v>
      </c>
      <c r="U79" s="122"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Row],[_Row]])="",TRUE()),"",INDEX(tsk_ResourceNames,GanttView[[#This Row],[_Row]])&amp;"")</f>
        <v/>
      </c>
      <c r="K80" s="117" t="str">
        <f aca="false">IF(IFERROR(INDEX(tsk_Name,GanttView[[#This Row],[_Row]])="",TRUE()),"",INDEX(tsk_Status,GanttView[[#This Row],[_Row]]))</f>
        <v/>
      </c>
      <c r="L80" s="121" t="n">
        <f aca="false">ROW()-ROW(GanttView[[#Headers],[ID]])</f>
        <v>75</v>
      </c>
      <c r="M80" s="122" t="b">
        <f aca="false">IF(IFERROR(INDEX(tsk_Name,GanttView[[#This Row],[_Row]])="",TRUE()),FALSE(),INDEX(tsk_IsSummary,GanttView[[#This Row],[_Row]]))</f>
        <v>0</v>
      </c>
      <c r="N80" s="122" t="b">
        <f aca="false">IF(IFERROR(INDEX(tsk_Name,GanttView[[#This Row],[_Row]])="",TRUE()),FALSE(),AND(INDEX(tsk_IsLeaf,GanttView[[#This Row],[_Row]])=1,N(INDEX(tsk_Duration,GanttView[[#This Row],[_Row]]))=0))</f>
        <v>0</v>
      </c>
      <c r="O80" s="123" t="n">
        <f aca="false">IF(IFERROR(INDEX(tsk_Name,GanttView[[#This Row],[_Row]])="",TRUE()),0,IF(AND(INDEX(tsk_IsLeaf,GanttView[[#This Row],[_Row]])=1,NOT(GanttView[[#This Row],[_IsMilestone]]),N(GanttView[[#This Row],[%]])&gt;0),GanttView[[#This Row],[Forecast Start]],0))</f>
        <v>0</v>
      </c>
      <c r="P80" s="123" t="n">
        <f aca="false">IF(GanttView[[#This Row],[_DoneFrom]]=0,0,IF(GanttView[[#This Row],[%]]&gt;=1,GanttView[[#This Row],[Forecast Finish]],MAX(GanttView[[#This Row],[_DoneFrom]],GanttView[[#This Row],[Forecast Start]]+ROUND((GanttView[[#This Row],[Forecast Finish]]-GanttView[[#This Row],[Forecast Start]]+1)*GanttView[[#This Row],[%]],0)-1)))</f>
        <v>0</v>
      </c>
      <c r="Q80" s="123" t="n">
        <f aca="false">IF(IFERROR(INDEX(tsk_Name,GanttView[[#This Row],[_Row]])="",TRUE()),0,IF(OR(INDEX(tsk_IsLeaf,GanttView[[#This Row],[_Row]])&lt;&gt;1,GanttView[[#This Row],[_IsMilestone]],N(GanttView[[#This Row],[%]])&gt;=1),0,IF(GanttView[[#This Row],[_DoneTo]]&gt;0,GanttView[[#This Row],[_DoneTo]]+1,GanttView[[#This Row],[Forecast Start]])))</f>
        <v>0</v>
      </c>
      <c r="R80" s="123" t="n">
        <f aca="false">IF(GanttView[[#This Row],[_RemFrom]]=0,0,GanttView[[#This Row],[Forecast Finish]])</f>
        <v>0</v>
      </c>
      <c r="S80" s="122" t="b">
        <f aca="false">IF(IFERROR(INDEX(tsk_Name,GanttView[[#This Row],[_Row]])="",TRUE()),FALSE(),N(INDEX(tsk_Variance,GanttView[[#This Row],[_Row]]))&gt;0)</f>
        <v>0</v>
      </c>
      <c r="T80" s="123" t="n">
        <f aca="false">IF(IFERROR(INDEX(tsk_Name,GanttView[[#This Row],[_Row]])="",TRUE()),0,N(INDEX(tsk_Deadline,GanttView[[#This Row],[_Row]])))</f>
        <v>0</v>
      </c>
      <c r="U80" s="122"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Row],[_Row]])="",TRUE()),"",INDEX(tsk_ResourceNames,GanttView[[#This Row],[_Row]])&amp;"")</f>
        <v/>
      </c>
      <c r="K81" s="117" t="str">
        <f aca="false">IF(IFERROR(INDEX(tsk_Name,GanttView[[#This Row],[_Row]])="",TRUE()),"",INDEX(tsk_Status,GanttView[[#This Row],[_Row]]))</f>
        <v/>
      </c>
      <c r="L81" s="121" t="n">
        <f aca="false">ROW()-ROW(GanttView[[#Headers],[ID]])</f>
        <v>76</v>
      </c>
      <c r="M81" s="122" t="b">
        <f aca="false">IF(IFERROR(INDEX(tsk_Name,GanttView[[#This Row],[_Row]])="",TRUE()),FALSE(),INDEX(tsk_IsSummary,GanttView[[#This Row],[_Row]]))</f>
        <v>0</v>
      </c>
      <c r="N81" s="122" t="b">
        <f aca="false">IF(IFERROR(INDEX(tsk_Name,GanttView[[#This Row],[_Row]])="",TRUE()),FALSE(),AND(INDEX(tsk_IsLeaf,GanttView[[#This Row],[_Row]])=1,N(INDEX(tsk_Duration,GanttView[[#This Row],[_Row]]))=0))</f>
        <v>0</v>
      </c>
      <c r="O81" s="123" t="n">
        <f aca="false">IF(IFERROR(INDEX(tsk_Name,GanttView[[#This Row],[_Row]])="",TRUE()),0,IF(AND(INDEX(tsk_IsLeaf,GanttView[[#This Row],[_Row]])=1,NOT(GanttView[[#This Row],[_IsMilestone]]),N(GanttView[[#This Row],[%]])&gt;0),GanttView[[#This Row],[Forecast Start]],0))</f>
        <v>0</v>
      </c>
      <c r="P81" s="123" t="n">
        <f aca="false">IF(GanttView[[#This Row],[_DoneFrom]]=0,0,IF(GanttView[[#This Row],[%]]&gt;=1,GanttView[[#This Row],[Forecast Finish]],MAX(GanttView[[#This Row],[_DoneFrom]],GanttView[[#This Row],[Forecast Start]]+ROUND((GanttView[[#This Row],[Forecast Finish]]-GanttView[[#This Row],[Forecast Start]]+1)*GanttView[[#This Row],[%]],0)-1)))</f>
        <v>0</v>
      </c>
      <c r="Q81" s="123" t="n">
        <f aca="false">IF(IFERROR(INDEX(tsk_Name,GanttView[[#This Row],[_Row]])="",TRUE()),0,IF(OR(INDEX(tsk_IsLeaf,GanttView[[#This Row],[_Row]])&lt;&gt;1,GanttView[[#This Row],[_IsMilestone]],N(GanttView[[#This Row],[%]])&gt;=1),0,IF(GanttView[[#This Row],[_DoneTo]]&gt;0,GanttView[[#This Row],[_DoneTo]]+1,GanttView[[#This Row],[Forecast Start]])))</f>
        <v>0</v>
      </c>
      <c r="R81" s="123" t="n">
        <f aca="false">IF(GanttView[[#This Row],[_RemFrom]]=0,0,GanttView[[#This Row],[Forecast Finish]])</f>
        <v>0</v>
      </c>
      <c r="S81" s="122" t="b">
        <f aca="false">IF(IFERROR(INDEX(tsk_Name,GanttView[[#This Row],[_Row]])="",TRUE()),FALSE(),N(INDEX(tsk_Variance,GanttView[[#This Row],[_Row]]))&gt;0)</f>
        <v>0</v>
      </c>
      <c r="T81" s="123" t="n">
        <f aca="false">IF(IFERROR(INDEX(tsk_Name,GanttView[[#This Row],[_Row]])="",TRUE()),0,N(INDEX(tsk_Deadline,GanttView[[#This Row],[_Row]])))</f>
        <v>0</v>
      </c>
      <c r="U81" s="122"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Row],[_Row]])="",TRUE()),"",INDEX(tsk_ResourceNames,GanttView[[#This Row],[_Row]])&amp;"")</f>
        <v/>
      </c>
      <c r="K82" s="117" t="str">
        <f aca="false">IF(IFERROR(INDEX(tsk_Name,GanttView[[#This Row],[_Row]])="",TRUE()),"",INDEX(tsk_Status,GanttView[[#This Row],[_Row]]))</f>
        <v/>
      </c>
      <c r="L82" s="121" t="n">
        <f aca="false">ROW()-ROW(GanttView[[#Headers],[ID]])</f>
        <v>77</v>
      </c>
      <c r="M82" s="122" t="b">
        <f aca="false">IF(IFERROR(INDEX(tsk_Name,GanttView[[#This Row],[_Row]])="",TRUE()),FALSE(),INDEX(tsk_IsSummary,GanttView[[#This Row],[_Row]]))</f>
        <v>0</v>
      </c>
      <c r="N82" s="122" t="b">
        <f aca="false">IF(IFERROR(INDEX(tsk_Name,GanttView[[#This Row],[_Row]])="",TRUE()),FALSE(),AND(INDEX(tsk_IsLeaf,GanttView[[#This Row],[_Row]])=1,N(INDEX(tsk_Duration,GanttView[[#This Row],[_Row]]))=0))</f>
        <v>0</v>
      </c>
      <c r="O82" s="123" t="n">
        <f aca="false">IF(IFERROR(INDEX(tsk_Name,GanttView[[#This Row],[_Row]])="",TRUE()),0,IF(AND(INDEX(tsk_IsLeaf,GanttView[[#This Row],[_Row]])=1,NOT(GanttView[[#This Row],[_IsMilestone]]),N(GanttView[[#This Row],[%]])&gt;0),GanttView[[#This Row],[Forecast Start]],0))</f>
        <v>0</v>
      </c>
      <c r="P82" s="123" t="n">
        <f aca="false">IF(GanttView[[#This Row],[_DoneFrom]]=0,0,IF(GanttView[[#This Row],[%]]&gt;=1,GanttView[[#This Row],[Forecast Finish]],MAX(GanttView[[#This Row],[_DoneFrom]],GanttView[[#This Row],[Forecast Start]]+ROUND((GanttView[[#This Row],[Forecast Finish]]-GanttView[[#This Row],[Forecast Start]]+1)*GanttView[[#This Row],[%]],0)-1)))</f>
        <v>0</v>
      </c>
      <c r="Q82" s="123" t="n">
        <f aca="false">IF(IFERROR(INDEX(tsk_Name,GanttView[[#This Row],[_Row]])="",TRUE()),0,IF(OR(INDEX(tsk_IsLeaf,GanttView[[#This Row],[_Row]])&lt;&gt;1,GanttView[[#This Row],[_IsMilestone]],N(GanttView[[#This Row],[%]])&gt;=1),0,IF(GanttView[[#This Row],[_DoneTo]]&gt;0,GanttView[[#This Row],[_DoneTo]]+1,GanttView[[#This Row],[Forecast Start]])))</f>
        <v>0</v>
      </c>
      <c r="R82" s="123" t="n">
        <f aca="false">IF(GanttView[[#This Row],[_RemFrom]]=0,0,GanttView[[#This Row],[Forecast Finish]])</f>
        <v>0</v>
      </c>
      <c r="S82" s="122" t="b">
        <f aca="false">IF(IFERROR(INDEX(tsk_Name,GanttView[[#This Row],[_Row]])="",TRUE()),FALSE(),N(INDEX(tsk_Variance,GanttView[[#This Row],[_Row]]))&gt;0)</f>
        <v>0</v>
      </c>
      <c r="T82" s="123" t="n">
        <f aca="false">IF(IFERROR(INDEX(tsk_Name,GanttView[[#This Row],[_Row]])="",TRUE()),0,N(INDEX(tsk_Deadline,GanttView[[#This Row],[_Row]])))</f>
        <v>0</v>
      </c>
      <c r="U82" s="122"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Row],[_Row]])="",TRUE()),"",INDEX(tsk_ResourceNames,GanttView[[#This Row],[_Row]])&amp;"")</f>
        <v/>
      </c>
      <c r="K83" s="117" t="str">
        <f aca="false">IF(IFERROR(INDEX(tsk_Name,GanttView[[#This Row],[_Row]])="",TRUE()),"",INDEX(tsk_Status,GanttView[[#This Row],[_Row]]))</f>
        <v/>
      </c>
      <c r="L83" s="121" t="n">
        <f aca="false">ROW()-ROW(GanttView[[#Headers],[ID]])</f>
        <v>78</v>
      </c>
      <c r="M83" s="122" t="b">
        <f aca="false">IF(IFERROR(INDEX(tsk_Name,GanttView[[#This Row],[_Row]])="",TRUE()),FALSE(),INDEX(tsk_IsSummary,GanttView[[#This Row],[_Row]]))</f>
        <v>0</v>
      </c>
      <c r="N83" s="122" t="b">
        <f aca="false">IF(IFERROR(INDEX(tsk_Name,GanttView[[#This Row],[_Row]])="",TRUE()),FALSE(),AND(INDEX(tsk_IsLeaf,GanttView[[#This Row],[_Row]])=1,N(INDEX(tsk_Duration,GanttView[[#This Row],[_Row]]))=0))</f>
        <v>0</v>
      </c>
      <c r="O83" s="123" t="n">
        <f aca="false">IF(IFERROR(INDEX(tsk_Name,GanttView[[#This Row],[_Row]])="",TRUE()),0,IF(AND(INDEX(tsk_IsLeaf,GanttView[[#This Row],[_Row]])=1,NOT(GanttView[[#This Row],[_IsMilestone]]),N(GanttView[[#This Row],[%]])&gt;0),GanttView[[#This Row],[Forecast Start]],0))</f>
        <v>0</v>
      </c>
      <c r="P83" s="123" t="n">
        <f aca="false">IF(GanttView[[#This Row],[_DoneFrom]]=0,0,IF(GanttView[[#This Row],[%]]&gt;=1,GanttView[[#This Row],[Forecast Finish]],MAX(GanttView[[#This Row],[_DoneFrom]],GanttView[[#This Row],[Forecast Start]]+ROUND((GanttView[[#This Row],[Forecast Finish]]-GanttView[[#This Row],[Forecast Start]]+1)*GanttView[[#This Row],[%]],0)-1)))</f>
        <v>0</v>
      </c>
      <c r="Q83" s="123" t="n">
        <f aca="false">IF(IFERROR(INDEX(tsk_Name,GanttView[[#This Row],[_Row]])="",TRUE()),0,IF(OR(INDEX(tsk_IsLeaf,GanttView[[#This Row],[_Row]])&lt;&gt;1,GanttView[[#This Row],[_IsMilestone]],N(GanttView[[#This Row],[%]])&gt;=1),0,IF(GanttView[[#This Row],[_DoneTo]]&gt;0,GanttView[[#This Row],[_DoneTo]]+1,GanttView[[#This Row],[Forecast Start]])))</f>
        <v>0</v>
      </c>
      <c r="R83" s="123" t="n">
        <f aca="false">IF(GanttView[[#This Row],[_RemFrom]]=0,0,GanttView[[#This Row],[Forecast Finish]])</f>
        <v>0</v>
      </c>
      <c r="S83" s="122" t="b">
        <f aca="false">IF(IFERROR(INDEX(tsk_Name,GanttView[[#This Row],[_Row]])="",TRUE()),FALSE(),N(INDEX(tsk_Variance,GanttView[[#This Row],[_Row]]))&gt;0)</f>
        <v>0</v>
      </c>
      <c r="T83" s="123" t="n">
        <f aca="false">IF(IFERROR(INDEX(tsk_Name,GanttView[[#This Row],[_Row]])="",TRUE()),0,N(INDEX(tsk_Deadline,GanttView[[#This Row],[_Row]])))</f>
        <v>0</v>
      </c>
      <c r="U83" s="122"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Row],[_Row]])="",TRUE()),"",INDEX(tsk_ResourceNames,GanttView[[#This Row],[_Row]])&amp;"")</f>
        <v/>
      </c>
      <c r="K84" s="117" t="str">
        <f aca="false">IF(IFERROR(INDEX(tsk_Name,GanttView[[#This Row],[_Row]])="",TRUE()),"",INDEX(tsk_Status,GanttView[[#This Row],[_Row]]))</f>
        <v/>
      </c>
      <c r="L84" s="121" t="n">
        <f aca="false">ROW()-ROW(GanttView[[#Headers],[ID]])</f>
        <v>79</v>
      </c>
      <c r="M84" s="122" t="b">
        <f aca="false">IF(IFERROR(INDEX(tsk_Name,GanttView[[#This Row],[_Row]])="",TRUE()),FALSE(),INDEX(tsk_IsSummary,GanttView[[#This Row],[_Row]]))</f>
        <v>0</v>
      </c>
      <c r="N84" s="122" t="b">
        <f aca="false">IF(IFERROR(INDEX(tsk_Name,GanttView[[#This Row],[_Row]])="",TRUE()),FALSE(),AND(INDEX(tsk_IsLeaf,GanttView[[#This Row],[_Row]])=1,N(INDEX(tsk_Duration,GanttView[[#This Row],[_Row]]))=0))</f>
        <v>0</v>
      </c>
      <c r="O84" s="123" t="n">
        <f aca="false">IF(IFERROR(INDEX(tsk_Name,GanttView[[#This Row],[_Row]])="",TRUE()),0,IF(AND(INDEX(tsk_IsLeaf,GanttView[[#This Row],[_Row]])=1,NOT(GanttView[[#This Row],[_IsMilestone]]),N(GanttView[[#This Row],[%]])&gt;0),GanttView[[#This Row],[Forecast Start]],0))</f>
        <v>0</v>
      </c>
      <c r="P84" s="123" t="n">
        <f aca="false">IF(GanttView[[#This Row],[_DoneFrom]]=0,0,IF(GanttView[[#This Row],[%]]&gt;=1,GanttView[[#This Row],[Forecast Finish]],MAX(GanttView[[#This Row],[_DoneFrom]],GanttView[[#This Row],[Forecast Start]]+ROUND((GanttView[[#This Row],[Forecast Finish]]-GanttView[[#This Row],[Forecast Start]]+1)*GanttView[[#This Row],[%]],0)-1)))</f>
        <v>0</v>
      </c>
      <c r="Q84" s="123" t="n">
        <f aca="false">IF(IFERROR(INDEX(tsk_Name,GanttView[[#This Row],[_Row]])="",TRUE()),0,IF(OR(INDEX(tsk_IsLeaf,GanttView[[#This Row],[_Row]])&lt;&gt;1,GanttView[[#This Row],[_IsMilestone]],N(GanttView[[#This Row],[%]])&gt;=1),0,IF(GanttView[[#This Row],[_DoneTo]]&gt;0,GanttView[[#This Row],[_DoneTo]]+1,GanttView[[#This Row],[Forecast Start]])))</f>
        <v>0</v>
      </c>
      <c r="R84" s="123" t="n">
        <f aca="false">IF(GanttView[[#This Row],[_RemFrom]]=0,0,GanttView[[#This Row],[Forecast Finish]])</f>
        <v>0</v>
      </c>
      <c r="S84" s="122" t="b">
        <f aca="false">IF(IFERROR(INDEX(tsk_Name,GanttView[[#This Row],[_Row]])="",TRUE()),FALSE(),N(INDEX(tsk_Variance,GanttView[[#This Row],[_Row]]))&gt;0)</f>
        <v>0</v>
      </c>
      <c r="T84" s="123" t="n">
        <f aca="false">IF(IFERROR(INDEX(tsk_Name,GanttView[[#This Row],[_Row]])="",TRUE()),0,N(INDEX(tsk_Deadline,GanttView[[#This Row],[_Row]])))</f>
        <v>0</v>
      </c>
      <c r="U84" s="122"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Row],[_Row]])="",TRUE()),"",INDEX(tsk_ResourceNames,GanttView[[#This Row],[_Row]])&amp;"")</f>
        <v/>
      </c>
      <c r="K85" s="117" t="str">
        <f aca="false">IF(IFERROR(INDEX(tsk_Name,GanttView[[#This Row],[_Row]])="",TRUE()),"",INDEX(tsk_Status,GanttView[[#This Row],[_Row]]))</f>
        <v/>
      </c>
      <c r="L85" s="121" t="n">
        <f aca="false">ROW()-ROW(GanttView[[#Headers],[ID]])</f>
        <v>80</v>
      </c>
      <c r="M85" s="122" t="b">
        <f aca="false">IF(IFERROR(INDEX(tsk_Name,GanttView[[#This Row],[_Row]])="",TRUE()),FALSE(),INDEX(tsk_IsSummary,GanttView[[#This Row],[_Row]]))</f>
        <v>0</v>
      </c>
      <c r="N85" s="122" t="b">
        <f aca="false">IF(IFERROR(INDEX(tsk_Name,GanttView[[#This Row],[_Row]])="",TRUE()),FALSE(),AND(INDEX(tsk_IsLeaf,GanttView[[#This Row],[_Row]])=1,N(INDEX(tsk_Duration,GanttView[[#This Row],[_Row]]))=0))</f>
        <v>0</v>
      </c>
      <c r="O85" s="123" t="n">
        <f aca="false">IF(IFERROR(INDEX(tsk_Name,GanttView[[#This Row],[_Row]])="",TRUE()),0,IF(AND(INDEX(tsk_IsLeaf,GanttView[[#This Row],[_Row]])=1,NOT(GanttView[[#This Row],[_IsMilestone]]),N(GanttView[[#This Row],[%]])&gt;0),GanttView[[#This Row],[Forecast Start]],0))</f>
        <v>0</v>
      </c>
      <c r="P85" s="123" t="n">
        <f aca="false">IF(GanttView[[#This Row],[_DoneFrom]]=0,0,IF(GanttView[[#This Row],[%]]&gt;=1,GanttView[[#This Row],[Forecast Finish]],MAX(GanttView[[#This Row],[_DoneFrom]],GanttView[[#This Row],[Forecast Start]]+ROUND((GanttView[[#This Row],[Forecast Finish]]-GanttView[[#This Row],[Forecast Start]]+1)*GanttView[[#This Row],[%]],0)-1)))</f>
        <v>0</v>
      </c>
      <c r="Q85" s="123" t="n">
        <f aca="false">IF(IFERROR(INDEX(tsk_Name,GanttView[[#This Row],[_Row]])="",TRUE()),0,IF(OR(INDEX(tsk_IsLeaf,GanttView[[#This Row],[_Row]])&lt;&gt;1,GanttView[[#This Row],[_IsMilestone]],N(GanttView[[#This Row],[%]])&gt;=1),0,IF(GanttView[[#This Row],[_DoneTo]]&gt;0,GanttView[[#This Row],[_DoneTo]]+1,GanttView[[#This Row],[Forecast Start]])))</f>
        <v>0</v>
      </c>
      <c r="R85" s="123" t="n">
        <f aca="false">IF(GanttView[[#This Row],[_RemFrom]]=0,0,GanttView[[#This Row],[Forecast Finish]])</f>
        <v>0</v>
      </c>
      <c r="S85" s="122" t="b">
        <f aca="false">IF(IFERROR(INDEX(tsk_Name,GanttView[[#This Row],[_Row]])="",TRUE()),FALSE(),N(INDEX(tsk_Variance,GanttView[[#This Row],[_Row]]))&gt;0)</f>
        <v>0</v>
      </c>
      <c r="T85" s="123" t="n">
        <f aca="false">IF(IFERROR(INDEX(tsk_Name,GanttView[[#This Row],[_Row]])="",TRUE()),0,N(INDEX(tsk_Deadline,GanttView[[#This Row],[_Row]])))</f>
        <v>0</v>
      </c>
      <c r="U85" s="122"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Row],[_Row]])="",TRUE()),"",INDEX(tsk_ResourceNames,GanttView[[#This Row],[_Row]])&amp;"")</f>
        <v/>
      </c>
      <c r="K86" s="117" t="str">
        <f aca="false">IF(IFERROR(INDEX(tsk_Name,GanttView[[#This Row],[_Row]])="",TRUE()),"",INDEX(tsk_Status,GanttView[[#This Row],[_Row]]))</f>
        <v/>
      </c>
      <c r="L86" s="121" t="n">
        <f aca="false">ROW()-ROW(GanttView[[#Headers],[ID]])</f>
        <v>81</v>
      </c>
      <c r="M86" s="122" t="b">
        <f aca="false">IF(IFERROR(INDEX(tsk_Name,GanttView[[#This Row],[_Row]])="",TRUE()),FALSE(),INDEX(tsk_IsSummary,GanttView[[#This Row],[_Row]]))</f>
        <v>0</v>
      </c>
      <c r="N86" s="122" t="b">
        <f aca="false">IF(IFERROR(INDEX(tsk_Name,GanttView[[#This Row],[_Row]])="",TRUE()),FALSE(),AND(INDEX(tsk_IsLeaf,GanttView[[#This Row],[_Row]])=1,N(INDEX(tsk_Duration,GanttView[[#This Row],[_Row]]))=0))</f>
        <v>0</v>
      </c>
      <c r="O86" s="123" t="n">
        <f aca="false">IF(IFERROR(INDEX(tsk_Name,GanttView[[#This Row],[_Row]])="",TRUE()),0,IF(AND(INDEX(tsk_IsLeaf,GanttView[[#This Row],[_Row]])=1,NOT(GanttView[[#This Row],[_IsMilestone]]),N(GanttView[[#This Row],[%]])&gt;0),GanttView[[#This Row],[Forecast Start]],0))</f>
        <v>0</v>
      </c>
      <c r="P86" s="123" t="n">
        <f aca="false">IF(GanttView[[#This Row],[_DoneFrom]]=0,0,IF(GanttView[[#This Row],[%]]&gt;=1,GanttView[[#This Row],[Forecast Finish]],MAX(GanttView[[#This Row],[_DoneFrom]],GanttView[[#This Row],[Forecast Start]]+ROUND((GanttView[[#This Row],[Forecast Finish]]-GanttView[[#This Row],[Forecast Start]]+1)*GanttView[[#This Row],[%]],0)-1)))</f>
        <v>0</v>
      </c>
      <c r="Q86" s="123" t="n">
        <f aca="false">IF(IFERROR(INDEX(tsk_Name,GanttView[[#This Row],[_Row]])="",TRUE()),0,IF(OR(INDEX(tsk_IsLeaf,GanttView[[#This Row],[_Row]])&lt;&gt;1,GanttView[[#This Row],[_IsMilestone]],N(GanttView[[#This Row],[%]])&gt;=1),0,IF(GanttView[[#This Row],[_DoneTo]]&gt;0,GanttView[[#This Row],[_DoneTo]]+1,GanttView[[#This Row],[Forecast Start]])))</f>
        <v>0</v>
      </c>
      <c r="R86" s="123" t="n">
        <f aca="false">IF(GanttView[[#This Row],[_RemFrom]]=0,0,GanttView[[#This Row],[Forecast Finish]])</f>
        <v>0</v>
      </c>
      <c r="S86" s="122" t="b">
        <f aca="false">IF(IFERROR(INDEX(tsk_Name,GanttView[[#This Row],[_Row]])="",TRUE()),FALSE(),N(INDEX(tsk_Variance,GanttView[[#This Row],[_Row]]))&gt;0)</f>
        <v>0</v>
      </c>
      <c r="T86" s="123" t="n">
        <f aca="false">IF(IFERROR(INDEX(tsk_Name,GanttView[[#This Row],[_Row]])="",TRUE()),0,N(INDEX(tsk_Deadline,GanttView[[#This Row],[_Row]])))</f>
        <v>0</v>
      </c>
      <c r="U86" s="122"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Row],[_Row]])="",TRUE()),"",INDEX(tsk_ResourceNames,GanttView[[#This Row],[_Row]])&amp;"")</f>
        <v/>
      </c>
      <c r="K87" s="117" t="str">
        <f aca="false">IF(IFERROR(INDEX(tsk_Name,GanttView[[#This Row],[_Row]])="",TRUE()),"",INDEX(tsk_Status,GanttView[[#This Row],[_Row]]))</f>
        <v/>
      </c>
      <c r="L87" s="121" t="n">
        <f aca="false">ROW()-ROW(GanttView[[#Headers],[ID]])</f>
        <v>82</v>
      </c>
      <c r="M87" s="122" t="b">
        <f aca="false">IF(IFERROR(INDEX(tsk_Name,GanttView[[#This Row],[_Row]])="",TRUE()),FALSE(),INDEX(tsk_IsSummary,GanttView[[#This Row],[_Row]]))</f>
        <v>0</v>
      </c>
      <c r="N87" s="122" t="b">
        <f aca="false">IF(IFERROR(INDEX(tsk_Name,GanttView[[#This Row],[_Row]])="",TRUE()),FALSE(),AND(INDEX(tsk_IsLeaf,GanttView[[#This Row],[_Row]])=1,N(INDEX(tsk_Duration,GanttView[[#This Row],[_Row]]))=0))</f>
        <v>0</v>
      </c>
      <c r="O87" s="123" t="n">
        <f aca="false">IF(IFERROR(INDEX(tsk_Name,GanttView[[#This Row],[_Row]])="",TRUE()),0,IF(AND(INDEX(tsk_IsLeaf,GanttView[[#This Row],[_Row]])=1,NOT(GanttView[[#This Row],[_IsMilestone]]),N(GanttView[[#This Row],[%]])&gt;0),GanttView[[#This Row],[Forecast Start]],0))</f>
        <v>0</v>
      </c>
      <c r="P87" s="123" t="n">
        <f aca="false">IF(GanttView[[#This Row],[_DoneFrom]]=0,0,IF(GanttView[[#This Row],[%]]&gt;=1,GanttView[[#This Row],[Forecast Finish]],MAX(GanttView[[#This Row],[_DoneFrom]],GanttView[[#This Row],[Forecast Start]]+ROUND((GanttView[[#This Row],[Forecast Finish]]-GanttView[[#This Row],[Forecast Start]]+1)*GanttView[[#This Row],[%]],0)-1)))</f>
        <v>0</v>
      </c>
      <c r="Q87" s="123" t="n">
        <f aca="false">IF(IFERROR(INDEX(tsk_Name,GanttView[[#This Row],[_Row]])="",TRUE()),0,IF(OR(INDEX(tsk_IsLeaf,GanttView[[#This Row],[_Row]])&lt;&gt;1,GanttView[[#This Row],[_IsMilestone]],N(GanttView[[#This Row],[%]])&gt;=1),0,IF(GanttView[[#This Row],[_DoneTo]]&gt;0,GanttView[[#This Row],[_DoneTo]]+1,GanttView[[#This Row],[Forecast Start]])))</f>
        <v>0</v>
      </c>
      <c r="R87" s="123" t="n">
        <f aca="false">IF(GanttView[[#This Row],[_RemFrom]]=0,0,GanttView[[#This Row],[Forecast Finish]])</f>
        <v>0</v>
      </c>
      <c r="S87" s="122" t="b">
        <f aca="false">IF(IFERROR(INDEX(tsk_Name,GanttView[[#This Row],[_Row]])="",TRUE()),FALSE(),N(INDEX(tsk_Variance,GanttView[[#This Row],[_Row]]))&gt;0)</f>
        <v>0</v>
      </c>
      <c r="T87" s="123" t="n">
        <f aca="false">IF(IFERROR(INDEX(tsk_Name,GanttView[[#This Row],[_Row]])="",TRUE()),0,N(INDEX(tsk_Deadline,GanttView[[#This Row],[_Row]])))</f>
        <v>0</v>
      </c>
      <c r="U87" s="122"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Row],[_Row]])="",TRUE()),"",INDEX(tsk_ResourceNames,GanttView[[#This Row],[_Row]])&amp;"")</f>
        <v/>
      </c>
      <c r="K88" s="117" t="str">
        <f aca="false">IF(IFERROR(INDEX(tsk_Name,GanttView[[#This Row],[_Row]])="",TRUE()),"",INDEX(tsk_Status,GanttView[[#This Row],[_Row]]))</f>
        <v/>
      </c>
      <c r="L88" s="121" t="n">
        <f aca="false">ROW()-ROW(GanttView[[#Headers],[ID]])</f>
        <v>83</v>
      </c>
      <c r="M88" s="122" t="b">
        <f aca="false">IF(IFERROR(INDEX(tsk_Name,GanttView[[#This Row],[_Row]])="",TRUE()),FALSE(),INDEX(tsk_IsSummary,GanttView[[#This Row],[_Row]]))</f>
        <v>0</v>
      </c>
      <c r="N88" s="122" t="b">
        <f aca="false">IF(IFERROR(INDEX(tsk_Name,GanttView[[#This Row],[_Row]])="",TRUE()),FALSE(),AND(INDEX(tsk_IsLeaf,GanttView[[#This Row],[_Row]])=1,N(INDEX(tsk_Duration,GanttView[[#This Row],[_Row]]))=0))</f>
        <v>0</v>
      </c>
      <c r="O88" s="123" t="n">
        <f aca="false">IF(IFERROR(INDEX(tsk_Name,GanttView[[#This Row],[_Row]])="",TRUE()),0,IF(AND(INDEX(tsk_IsLeaf,GanttView[[#This Row],[_Row]])=1,NOT(GanttView[[#This Row],[_IsMilestone]]),N(GanttView[[#This Row],[%]])&gt;0),GanttView[[#This Row],[Forecast Start]],0))</f>
        <v>0</v>
      </c>
      <c r="P88" s="123" t="n">
        <f aca="false">IF(GanttView[[#This Row],[_DoneFrom]]=0,0,IF(GanttView[[#This Row],[%]]&gt;=1,GanttView[[#This Row],[Forecast Finish]],MAX(GanttView[[#This Row],[_DoneFrom]],GanttView[[#This Row],[Forecast Start]]+ROUND((GanttView[[#This Row],[Forecast Finish]]-GanttView[[#This Row],[Forecast Start]]+1)*GanttView[[#This Row],[%]],0)-1)))</f>
        <v>0</v>
      </c>
      <c r="Q88" s="123" t="n">
        <f aca="false">IF(IFERROR(INDEX(tsk_Name,GanttView[[#This Row],[_Row]])="",TRUE()),0,IF(OR(INDEX(tsk_IsLeaf,GanttView[[#This Row],[_Row]])&lt;&gt;1,GanttView[[#This Row],[_IsMilestone]],N(GanttView[[#This Row],[%]])&gt;=1),0,IF(GanttView[[#This Row],[_DoneTo]]&gt;0,GanttView[[#This Row],[_DoneTo]]+1,GanttView[[#This Row],[Forecast Start]])))</f>
        <v>0</v>
      </c>
      <c r="R88" s="123" t="n">
        <f aca="false">IF(GanttView[[#This Row],[_RemFrom]]=0,0,GanttView[[#This Row],[Forecast Finish]])</f>
        <v>0</v>
      </c>
      <c r="S88" s="122" t="b">
        <f aca="false">IF(IFERROR(INDEX(tsk_Name,GanttView[[#This Row],[_Row]])="",TRUE()),FALSE(),N(INDEX(tsk_Variance,GanttView[[#This Row],[_Row]]))&gt;0)</f>
        <v>0</v>
      </c>
      <c r="T88" s="123" t="n">
        <f aca="false">IF(IFERROR(INDEX(tsk_Name,GanttView[[#This Row],[_Row]])="",TRUE()),0,N(INDEX(tsk_Deadline,GanttView[[#This Row],[_Row]])))</f>
        <v>0</v>
      </c>
      <c r="U88" s="122"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Row],[_Row]])="",TRUE()),"",INDEX(tsk_ResourceNames,GanttView[[#This Row],[_Row]])&amp;"")</f>
        <v/>
      </c>
      <c r="K89" s="117" t="str">
        <f aca="false">IF(IFERROR(INDEX(tsk_Name,GanttView[[#This Row],[_Row]])="",TRUE()),"",INDEX(tsk_Status,GanttView[[#This Row],[_Row]]))</f>
        <v/>
      </c>
      <c r="L89" s="121" t="n">
        <f aca="false">ROW()-ROW(GanttView[[#Headers],[ID]])</f>
        <v>84</v>
      </c>
      <c r="M89" s="122" t="b">
        <f aca="false">IF(IFERROR(INDEX(tsk_Name,GanttView[[#This Row],[_Row]])="",TRUE()),FALSE(),INDEX(tsk_IsSummary,GanttView[[#This Row],[_Row]]))</f>
        <v>0</v>
      </c>
      <c r="N89" s="122" t="b">
        <f aca="false">IF(IFERROR(INDEX(tsk_Name,GanttView[[#This Row],[_Row]])="",TRUE()),FALSE(),AND(INDEX(tsk_IsLeaf,GanttView[[#This Row],[_Row]])=1,N(INDEX(tsk_Duration,GanttView[[#This Row],[_Row]]))=0))</f>
        <v>0</v>
      </c>
      <c r="O89" s="123" t="n">
        <f aca="false">IF(IFERROR(INDEX(tsk_Name,GanttView[[#This Row],[_Row]])="",TRUE()),0,IF(AND(INDEX(tsk_IsLeaf,GanttView[[#This Row],[_Row]])=1,NOT(GanttView[[#This Row],[_IsMilestone]]),N(GanttView[[#This Row],[%]])&gt;0),GanttView[[#This Row],[Forecast Start]],0))</f>
        <v>0</v>
      </c>
      <c r="P89" s="123" t="n">
        <f aca="false">IF(GanttView[[#This Row],[_DoneFrom]]=0,0,IF(GanttView[[#This Row],[%]]&gt;=1,GanttView[[#This Row],[Forecast Finish]],MAX(GanttView[[#This Row],[_DoneFrom]],GanttView[[#This Row],[Forecast Start]]+ROUND((GanttView[[#This Row],[Forecast Finish]]-GanttView[[#This Row],[Forecast Start]]+1)*GanttView[[#This Row],[%]],0)-1)))</f>
        <v>0</v>
      </c>
      <c r="Q89" s="123" t="n">
        <f aca="false">IF(IFERROR(INDEX(tsk_Name,GanttView[[#This Row],[_Row]])="",TRUE()),0,IF(OR(INDEX(tsk_IsLeaf,GanttView[[#This Row],[_Row]])&lt;&gt;1,GanttView[[#This Row],[_IsMilestone]],N(GanttView[[#This Row],[%]])&gt;=1),0,IF(GanttView[[#This Row],[_DoneTo]]&gt;0,GanttView[[#This Row],[_DoneTo]]+1,GanttView[[#This Row],[Forecast Start]])))</f>
        <v>0</v>
      </c>
      <c r="R89" s="123" t="n">
        <f aca="false">IF(GanttView[[#This Row],[_RemFrom]]=0,0,GanttView[[#This Row],[Forecast Finish]])</f>
        <v>0</v>
      </c>
      <c r="S89" s="122" t="b">
        <f aca="false">IF(IFERROR(INDEX(tsk_Name,GanttView[[#This Row],[_Row]])="",TRUE()),FALSE(),N(INDEX(tsk_Variance,GanttView[[#This Row],[_Row]]))&gt;0)</f>
        <v>0</v>
      </c>
      <c r="T89" s="123" t="n">
        <f aca="false">IF(IFERROR(INDEX(tsk_Name,GanttView[[#This Row],[_Row]])="",TRUE()),0,N(INDEX(tsk_Deadline,GanttView[[#This Row],[_Row]])))</f>
        <v>0</v>
      </c>
      <c r="U89" s="122"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Row],[_Row]])="",TRUE()),"",INDEX(tsk_ResourceNames,GanttView[[#This Row],[_Row]])&amp;"")</f>
        <v/>
      </c>
      <c r="K90" s="117" t="str">
        <f aca="false">IF(IFERROR(INDEX(tsk_Name,GanttView[[#This Row],[_Row]])="",TRUE()),"",INDEX(tsk_Status,GanttView[[#This Row],[_Row]]))</f>
        <v/>
      </c>
      <c r="L90" s="121" t="n">
        <f aca="false">ROW()-ROW(GanttView[[#Headers],[ID]])</f>
        <v>85</v>
      </c>
      <c r="M90" s="122" t="b">
        <f aca="false">IF(IFERROR(INDEX(tsk_Name,GanttView[[#This Row],[_Row]])="",TRUE()),FALSE(),INDEX(tsk_IsSummary,GanttView[[#This Row],[_Row]]))</f>
        <v>0</v>
      </c>
      <c r="N90" s="122" t="b">
        <f aca="false">IF(IFERROR(INDEX(tsk_Name,GanttView[[#This Row],[_Row]])="",TRUE()),FALSE(),AND(INDEX(tsk_IsLeaf,GanttView[[#This Row],[_Row]])=1,N(INDEX(tsk_Duration,GanttView[[#This Row],[_Row]]))=0))</f>
        <v>0</v>
      </c>
      <c r="O90" s="123" t="n">
        <f aca="false">IF(IFERROR(INDEX(tsk_Name,GanttView[[#This Row],[_Row]])="",TRUE()),0,IF(AND(INDEX(tsk_IsLeaf,GanttView[[#This Row],[_Row]])=1,NOT(GanttView[[#This Row],[_IsMilestone]]),N(GanttView[[#This Row],[%]])&gt;0),GanttView[[#This Row],[Forecast Start]],0))</f>
        <v>0</v>
      </c>
      <c r="P90" s="123" t="n">
        <f aca="false">IF(GanttView[[#This Row],[_DoneFrom]]=0,0,IF(GanttView[[#This Row],[%]]&gt;=1,GanttView[[#This Row],[Forecast Finish]],MAX(GanttView[[#This Row],[_DoneFrom]],GanttView[[#This Row],[Forecast Start]]+ROUND((GanttView[[#This Row],[Forecast Finish]]-GanttView[[#This Row],[Forecast Start]]+1)*GanttView[[#This Row],[%]],0)-1)))</f>
        <v>0</v>
      </c>
      <c r="Q90" s="123" t="n">
        <f aca="false">IF(IFERROR(INDEX(tsk_Name,GanttView[[#This Row],[_Row]])="",TRUE()),0,IF(OR(INDEX(tsk_IsLeaf,GanttView[[#This Row],[_Row]])&lt;&gt;1,GanttView[[#This Row],[_IsMilestone]],N(GanttView[[#This Row],[%]])&gt;=1),0,IF(GanttView[[#This Row],[_DoneTo]]&gt;0,GanttView[[#This Row],[_DoneTo]]+1,GanttView[[#This Row],[Forecast Start]])))</f>
        <v>0</v>
      </c>
      <c r="R90" s="123" t="n">
        <f aca="false">IF(GanttView[[#This Row],[_RemFrom]]=0,0,GanttView[[#This Row],[Forecast Finish]])</f>
        <v>0</v>
      </c>
      <c r="S90" s="122" t="b">
        <f aca="false">IF(IFERROR(INDEX(tsk_Name,GanttView[[#This Row],[_Row]])="",TRUE()),FALSE(),N(INDEX(tsk_Variance,GanttView[[#This Row],[_Row]]))&gt;0)</f>
        <v>0</v>
      </c>
      <c r="T90" s="123" t="n">
        <f aca="false">IF(IFERROR(INDEX(tsk_Name,GanttView[[#This Row],[_Row]])="",TRUE()),0,N(INDEX(tsk_Deadline,GanttView[[#This Row],[_Row]])))</f>
        <v>0</v>
      </c>
      <c r="U90" s="122"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Row],[_Row]])="",TRUE()),"",INDEX(tsk_ResourceNames,GanttView[[#This Row],[_Row]])&amp;"")</f>
        <v/>
      </c>
      <c r="K91" s="117" t="str">
        <f aca="false">IF(IFERROR(INDEX(tsk_Name,GanttView[[#This Row],[_Row]])="",TRUE()),"",INDEX(tsk_Status,GanttView[[#This Row],[_Row]]))</f>
        <v/>
      </c>
      <c r="L91" s="121" t="n">
        <f aca="false">ROW()-ROW(GanttView[[#Headers],[ID]])</f>
        <v>86</v>
      </c>
      <c r="M91" s="122" t="b">
        <f aca="false">IF(IFERROR(INDEX(tsk_Name,GanttView[[#This Row],[_Row]])="",TRUE()),FALSE(),INDEX(tsk_IsSummary,GanttView[[#This Row],[_Row]]))</f>
        <v>0</v>
      </c>
      <c r="N91" s="122" t="b">
        <f aca="false">IF(IFERROR(INDEX(tsk_Name,GanttView[[#This Row],[_Row]])="",TRUE()),FALSE(),AND(INDEX(tsk_IsLeaf,GanttView[[#This Row],[_Row]])=1,N(INDEX(tsk_Duration,GanttView[[#This Row],[_Row]]))=0))</f>
        <v>0</v>
      </c>
      <c r="O91" s="123" t="n">
        <f aca="false">IF(IFERROR(INDEX(tsk_Name,GanttView[[#This Row],[_Row]])="",TRUE()),0,IF(AND(INDEX(tsk_IsLeaf,GanttView[[#This Row],[_Row]])=1,NOT(GanttView[[#This Row],[_IsMilestone]]),N(GanttView[[#This Row],[%]])&gt;0),GanttView[[#This Row],[Forecast Start]],0))</f>
        <v>0</v>
      </c>
      <c r="P91" s="123" t="n">
        <f aca="false">IF(GanttView[[#This Row],[_DoneFrom]]=0,0,IF(GanttView[[#This Row],[%]]&gt;=1,GanttView[[#This Row],[Forecast Finish]],MAX(GanttView[[#This Row],[_DoneFrom]],GanttView[[#This Row],[Forecast Start]]+ROUND((GanttView[[#This Row],[Forecast Finish]]-GanttView[[#This Row],[Forecast Start]]+1)*GanttView[[#This Row],[%]],0)-1)))</f>
        <v>0</v>
      </c>
      <c r="Q91" s="123" t="n">
        <f aca="false">IF(IFERROR(INDEX(tsk_Name,GanttView[[#This Row],[_Row]])="",TRUE()),0,IF(OR(INDEX(tsk_IsLeaf,GanttView[[#This Row],[_Row]])&lt;&gt;1,GanttView[[#This Row],[_IsMilestone]],N(GanttView[[#This Row],[%]])&gt;=1),0,IF(GanttView[[#This Row],[_DoneTo]]&gt;0,GanttView[[#This Row],[_DoneTo]]+1,GanttView[[#This Row],[Forecast Start]])))</f>
        <v>0</v>
      </c>
      <c r="R91" s="123" t="n">
        <f aca="false">IF(GanttView[[#This Row],[_RemFrom]]=0,0,GanttView[[#This Row],[Forecast Finish]])</f>
        <v>0</v>
      </c>
      <c r="S91" s="122" t="b">
        <f aca="false">IF(IFERROR(INDEX(tsk_Name,GanttView[[#This Row],[_Row]])="",TRUE()),FALSE(),N(INDEX(tsk_Variance,GanttView[[#This Row],[_Row]]))&gt;0)</f>
        <v>0</v>
      </c>
      <c r="T91" s="123" t="n">
        <f aca="false">IF(IFERROR(INDEX(tsk_Name,GanttView[[#This Row],[_Row]])="",TRUE()),0,N(INDEX(tsk_Deadline,GanttView[[#This Row],[_Row]])))</f>
        <v>0</v>
      </c>
      <c r="U91" s="122"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Row],[_Row]])="",TRUE()),"",INDEX(tsk_ResourceNames,GanttView[[#This Row],[_Row]])&amp;"")</f>
        <v/>
      </c>
      <c r="K92" s="117" t="str">
        <f aca="false">IF(IFERROR(INDEX(tsk_Name,GanttView[[#This Row],[_Row]])="",TRUE()),"",INDEX(tsk_Status,GanttView[[#This Row],[_Row]]))</f>
        <v/>
      </c>
      <c r="L92" s="121" t="n">
        <f aca="false">ROW()-ROW(GanttView[[#Headers],[ID]])</f>
        <v>87</v>
      </c>
      <c r="M92" s="122" t="b">
        <f aca="false">IF(IFERROR(INDEX(tsk_Name,GanttView[[#This Row],[_Row]])="",TRUE()),FALSE(),INDEX(tsk_IsSummary,GanttView[[#This Row],[_Row]]))</f>
        <v>0</v>
      </c>
      <c r="N92" s="122" t="b">
        <f aca="false">IF(IFERROR(INDEX(tsk_Name,GanttView[[#This Row],[_Row]])="",TRUE()),FALSE(),AND(INDEX(tsk_IsLeaf,GanttView[[#This Row],[_Row]])=1,N(INDEX(tsk_Duration,GanttView[[#This Row],[_Row]]))=0))</f>
        <v>0</v>
      </c>
      <c r="O92" s="123" t="n">
        <f aca="false">IF(IFERROR(INDEX(tsk_Name,GanttView[[#This Row],[_Row]])="",TRUE()),0,IF(AND(INDEX(tsk_IsLeaf,GanttView[[#This Row],[_Row]])=1,NOT(GanttView[[#This Row],[_IsMilestone]]),N(GanttView[[#This Row],[%]])&gt;0),GanttView[[#This Row],[Forecast Start]],0))</f>
        <v>0</v>
      </c>
      <c r="P92" s="123" t="n">
        <f aca="false">IF(GanttView[[#This Row],[_DoneFrom]]=0,0,IF(GanttView[[#This Row],[%]]&gt;=1,GanttView[[#This Row],[Forecast Finish]],MAX(GanttView[[#This Row],[_DoneFrom]],GanttView[[#This Row],[Forecast Start]]+ROUND((GanttView[[#This Row],[Forecast Finish]]-GanttView[[#This Row],[Forecast Start]]+1)*GanttView[[#This Row],[%]],0)-1)))</f>
        <v>0</v>
      </c>
      <c r="Q92" s="123" t="n">
        <f aca="false">IF(IFERROR(INDEX(tsk_Name,GanttView[[#This Row],[_Row]])="",TRUE()),0,IF(OR(INDEX(tsk_IsLeaf,GanttView[[#This Row],[_Row]])&lt;&gt;1,GanttView[[#This Row],[_IsMilestone]],N(GanttView[[#This Row],[%]])&gt;=1),0,IF(GanttView[[#This Row],[_DoneTo]]&gt;0,GanttView[[#This Row],[_DoneTo]]+1,GanttView[[#This Row],[Forecast Start]])))</f>
        <v>0</v>
      </c>
      <c r="R92" s="123" t="n">
        <f aca="false">IF(GanttView[[#This Row],[_RemFrom]]=0,0,GanttView[[#This Row],[Forecast Finish]])</f>
        <v>0</v>
      </c>
      <c r="S92" s="122" t="b">
        <f aca="false">IF(IFERROR(INDEX(tsk_Name,GanttView[[#This Row],[_Row]])="",TRUE()),FALSE(),N(INDEX(tsk_Variance,GanttView[[#This Row],[_Row]]))&gt;0)</f>
        <v>0</v>
      </c>
      <c r="T92" s="123" t="n">
        <f aca="false">IF(IFERROR(INDEX(tsk_Name,GanttView[[#This Row],[_Row]])="",TRUE()),0,N(INDEX(tsk_Deadline,GanttView[[#This Row],[_Row]])))</f>
        <v>0</v>
      </c>
      <c r="U92" s="122"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Row],[_Row]])="",TRUE()),"",INDEX(tsk_ResourceNames,GanttView[[#This Row],[_Row]])&amp;"")</f>
        <v/>
      </c>
      <c r="K93" s="117" t="str">
        <f aca="false">IF(IFERROR(INDEX(tsk_Name,GanttView[[#This Row],[_Row]])="",TRUE()),"",INDEX(tsk_Status,GanttView[[#This Row],[_Row]]))</f>
        <v/>
      </c>
      <c r="L93" s="121" t="n">
        <f aca="false">ROW()-ROW(GanttView[[#Headers],[ID]])</f>
        <v>88</v>
      </c>
      <c r="M93" s="122" t="b">
        <f aca="false">IF(IFERROR(INDEX(tsk_Name,GanttView[[#This Row],[_Row]])="",TRUE()),FALSE(),INDEX(tsk_IsSummary,GanttView[[#This Row],[_Row]]))</f>
        <v>0</v>
      </c>
      <c r="N93" s="122" t="b">
        <f aca="false">IF(IFERROR(INDEX(tsk_Name,GanttView[[#This Row],[_Row]])="",TRUE()),FALSE(),AND(INDEX(tsk_IsLeaf,GanttView[[#This Row],[_Row]])=1,N(INDEX(tsk_Duration,GanttView[[#This Row],[_Row]]))=0))</f>
        <v>0</v>
      </c>
      <c r="O93" s="123" t="n">
        <f aca="false">IF(IFERROR(INDEX(tsk_Name,GanttView[[#This Row],[_Row]])="",TRUE()),0,IF(AND(INDEX(tsk_IsLeaf,GanttView[[#This Row],[_Row]])=1,NOT(GanttView[[#This Row],[_IsMilestone]]),N(GanttView[[#This Row],[%]])&gt;0),GanttView[[#This Row],[Forecast Start]],0))</f>
        <v>0</v>
      </c>
      <c r="P93" s="123" t="n">
        <f aca="false">IF(GanttView[[#This Row],[_DoneFrom]]=0,0,IF(GanttView[[#This Row],[%]]&gt;=1,GanttView[[#This Row],[Forecast Finish]],MAX(GanttView[[#This Row],[_DoneFrom]],GanttView[[#This Row],[Forecast Start]]+ROUND((GanttView[[#This Row],[Forecast Finish]]-GanttView[[#This Row],[Forecast Start]]+1)*GanttView[[#This Row],[%]],0)-1)))</f>
        <v>0</v>
      </c>
      <c r="Q93" s="123" t="n">
        <f aca="false">IF(IFERROR(INDEX(tsk_Name,GanttView[[#This Row],[_Row]])="",TRUE()),0,IF(OR(INDEX(tsk_IsLeaf,GanttView[[#This Row],[_Row]])&lt;&gt;1,GanttView[[#This Row],[_IsMilestone]],N(GanttView[[#This Row],[%]])&gt;=1),0,IF(GanttView[[#This Row],[_DoneTo]]&gt;0,GanttView[[#This Row],[_DoneTo]]+1,GanttView[[#This Row],[Forecast Start]])))</f>
        <v>0</v>
      </c>
      <c r="R93" s="123" t="n">
        <f aca="false">IF(GanttView[[#This Row],[_RemFrom]]=0,0,GanttView[[#This Row],[Forecast Finish]])</f>
        <v>0</v>
      </c>
      <c r="S93" s="122" t="b">
        <f aca="false">IF(IFERROR(INDEX(tsk_Name,GanttView[[#This Row],[_Row]])="",TRUE()),FALSE(),N(INDEX(tsk_Variance,GanttView[[#This Row],[_Row]]))&gt;0)</f>
        <v>0</v>
      </c>
      <c r="T93" s="123" t="n">
        <f aca="false">IF(IFERROR(INDEX(tsk_Name,GanttView[[#This Row],[_Row]])="",TRUE()),0,N(INDEX(tsk_Deadline,GanttView[[#This Row],[_Row]])))</f>
        <v>0</v>
      </c>
      <c r="U93" s="122"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Row],[_Row]])="",TRUE()),"",INDEX(tsk_ResourceNames,GanttView[[#This Row],[_Row]])&amp;"")</f>
        <v/>
      </c>
      <c r="K94" s="117" t="str">
        <f aca="false">IF(IFERROR(INDEX(tsk_Name,GanttView[[#This Row],[_Row]])="",TRUE()),"",INDEX(tsk_Status,GanttView[[#This Row],[_Row]]))</f>
        <v/>
      </c>
      <c r="L94" s="121" t="n">
        <f aca="false">ROW()-ROW(GanttView[[#Headers],[ID]])</f>
        <v>89</v>
      </c>
      <c r="M94" s="122" t="b">
        <f aca="false">IF(IFERROR(INDEX(tsk_Name,GanttView[[#This Row],[_Row]])="",TRUE()),FALSE(),INDEX(tsk_IsSummary,GanttView[[#This Row],[_Row]]))</f>
        <v>0</v>
      </c>
      <c r="N94" s="122" t="b">
        <f aca="false">IF(IFERROR(INDEX(tsk_Name,GanttView[[#This Row],[_Row]])="",TRUE()),FALSE(),AND(INDEX(tsk_IsLeaf,GanttView[[#This Row],[_Row]])=1,N(INDEX(tsk_Duration,GanttView[[#This Row],[_Row]]))=0))</f>
        <v>0</v>
      </c>
      <c r="O94" s="123" t="n">
        <f aca="false">IF(IFERROR(INDEX(tsk_Name,GanttView[[#This Row],[_Row]])="",TRUE()),0,IF(AND(INDEX(tsk_IsLeaf,GanttView[[#This Row],[_Row]])=1,NOT(GanttView[[#This Row],[_IsMilestone]]),N(GanttView[[#This Row],[%]])&gt;0),GanttView[[#This Row],[Forecast Start]],0))</f>
        <v>0</v>
      </c>
      <c r="P94" s="123" t="n">
        <f aca="false">IF(GanttView[[#This Row],[_DoneFrom]]=0,0,IF(GanttView[[#This Row],[%]]&gt;=1,GanttView[[#This Row],[Forecast Finish]],MAX(GanttView[[#This Row],[_DoneFrom]],GanttView[[#This Row],[Forecast Start]]+ROUND((GanttView[[#This Row],[Forecast Finish]]-GanttView[[#This Row],[Forecast Start]]+1)*GanttView[[#This Row],[%]],0)-1)))</f>
        <v>0</v>
      </c>
      <c r="Q94" s="123" t="n">
        <f aca="false">IF(IFERROR(INDEX(tsk_Name,GanttView[[#This Row],[_Row]])="",TRUE()),0,IF(OR(INDEX(tsk_IsLeaf,GanttView[[#This Row],[_Row]])&lt;&gt;1,GanttView[[#This Row],[_IsMilestone]],N(GanttView[[#This Row],[%]])&gt;=1),0,IF(GanttView[[#This Row],[_DoneTo]]&gt;0,GanttView[[#This Row],[_DoneTo]]+1,GanttView[[#This Row],[Forecast Start]])))</f>
        <v>0</v>
      </c>
      <c r="R94" s="123" t="n">
        <f aca="false">IF(GanttView[[#This Row],[_RemFrom]]=0,0,GanttView[[#This Row],[Forecast Finish]])</f>
        <v>0</v>
      </c>
      <c r="S94" s="122" t="b">
        <f aca="false">IF(IFERROR(INDEX(tsk_Name,GanttView[[#This Row],[_Row]])="",TRUE()),FALSE(),N(INDEX(tsk_Variance,GanttView[[#This Row],[_Row]]))&gt;0)</f>
        <v>0</v>
      </c>
      <c r="T94" s="123" t="n">
        <f aca="false">IF(IFERROR(INDEX(tsk_Name,GanttView[[#This Row],[_Row]])="",TRUE()),0,N(INDEX(tsk_Deadline,GanttView[[#This Row],[_Row]])))</f>
        <v>0</v>
      </c>
      <c r="U94" s="122"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Row],[_Row]])="",TRUE()),"",INDEX(tsk_ResourceNames,GanttView[[#This Row],[_Row]])&amp;"")</f>
        <v/>
      </c>
      <c r="K95" s="117" t="str">
        <f aca="false">IF(IFERROR(INDEX(tsk_Name,GanttView[[#This Row],[_Row]])="",TRUE()),"",INDEX(tsk_Status,GanttView[[#This Row],[_Row]]))</f>
        <v/>
      </c>
      <c r="L95" s="121" t="n">
        <f aca="false">ROW()-ROW(GanttView[[#Headers],[ID]])</f>
        <v>90</v>
      </c>
      <c r="M95" s="122" t="b">
        <f aca="false">IF(IFERROR(INDEX(tsk_Name,GanttView[[#This Row],[_Row]])="",TRUE()),FALSE(),INDEX(tsk_IsSummary,GanttView[[#This Row],[_Row]]))</f>
        <v>0</v>
      </c>
      <c r="N95" s="122" t="b">
        <f aca="false">IF(IFERROR(INDEX(tsk_Name,GanttView[[#This Row],[_Row]])="",TRUE()),FALSE(),AND(INDEX(tsk_IsLeaf,GanttView[[#This Row],[_Row]])=1,N(INDEX(tsk_Duration,GanttView[[#This Row],[_Row]]))=0))</f>
        <v>0</v>
      </c>
      <c r="O95" s="123" t="n">
        <f aca="false">IF(IFERROR(INDEX(tsk_Name,GanttView[[#This Row],[_Row]])="",TRUE()),0,IF(AND(INDEX(tsk_IsLeaf,GanttView[[#This Row],[_Row]])=1,NOT(GanttView[[#This Row],[_IsMilestone]]),N(GanttView[[#This Row],[%]])&gt;0),GanttView[[#This Row],[Forecast Start]],0))</f>
        <v>0</v>
      </c>
      <c r="P95" s="123" t="n">
        <f aca="false">IF(GanttView[[#This Row],[_DoneFrom]]=0,0,IF(GanttView[[#This Row],[%]]&gt;=1,GanttView[[#This Row],[Forecast Finish]],MAX(GanttView[[#This Row],[_DoneFrom]],GanttView[[#This Row],[Forecast Start]]+ROUND((GanttView[[#This Row],[Forecast Finish]]-GanttView[[#This Row],[Forecast Start]]+1)*GanttView[[#This Row],[%]],0)-1)))</f>
        <v>0</v>
      </c>
      <c r="Q95" s="123" t="n">
        <f aca="false">IF(IFERROR(INDEX(tsk_Name,GanttView[[#This Row],[_Row]])="",TRUE()),0,IF(OR(INDEX(tsk_IsLeaf,GanttView[[#This Row],[_Row]])&lt;&gt;1,GanttView[[#This Row],[_IsMilestone]],N(GanttView[[#This Row],[%]])&gt;=1),0,IF(GanttView[[#This Row],[_DoneTo]]&gt;0,GanttView[[#This Row],[_DoneTo]]+1,GanttView[[#This Row],[Forecast Start]])))</f>
        <v>0</v>
      </c>
      <c r="R95" s="123" t="n">
        <f aca="false">IF(GanttView[[#This Row],[_RemFrom]]=0,0,GanttView[[#This Row],[Forecast Finish]])</f>
        <v>0</v>
      </c>
      <c r="S95" s="122" t="b">
        <f aca="false">IF(IFERROR(INDEX(tsk_Name,GanttView[[#This Row],[_Row]])="",TRUE()),FALSE(),N(INDEX(tsk_Variance,GanttView[[#This Row],[_Row]]))&gt;0)</f>
        <v>0</v>
      </c>
      <c r="T95" s="123" t="n">
        <f aca="false">IF(IFERROR(INDEX(tsk_Name,GanttView[[#This Row],[_Row]])="",TRUE()),0,N(INDEX(tsk_Deadline,GanttView[[#This Row],[_Row]])))</f>
        <v>0</v>
      </c>
      <c r="U95" s="122"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Row],[_Row]])="",TRUE()),"",INDEX(tsk_ResourceNames,GanttView[[#This Row],[_Row]])&amp;"")</f>
        <v/>
      </c>
      <c r="K96" s="117" t="str">
        <f aca="false">IF(IFERROR(INDEX(tsk_Name,GanttView[[#This Row],[_Row]])="",TRUE()),"",INDEX(tsk_Status,GanttView[[#This Row],[_Row]]))</f>
        <v/>
      </c>
      <c r="L96" s="121" t="n">
        <f aca="false">ROW()-ROW(GanttView[[#Headers],[ID]])</f>
        <v>91</v>
      </c>
      <c r="M96" s="122" t="b">
        <f aca="false">IF(IFERROR(INDEX(tsk_Name,GanttView[[#This Row],[_Row]])="",TRUE()),FALSE(),INDEX(tsk_IsSummary,GanttView[[#This Row],[_Row]]))</f>
        <v>0</v>
      </c>
      <c r="N96" s="122" t="b">
        <f aca="false">IF(IFERROR(INDEX(tsk_Name,GanttView[[#This Row],[_Row]])="",TRUE()),FALSE(),AND(INDEX(tsk_IsLeaf,GanttView[[#This Row],[_Row]])=1,N(INDEX(tsk_Duration,GanttView[[#This Row],[_Row]]))=0))</f>
        <v>0</v>
      </c>
      <c r="O96" s="123" t="n">
        <f aca="false">IF(IFERROR(INDEX(tsk_Name,GanttView[[#This Row],[_Row]])="",TRUE()),0,IF(AND(INDEX(tsk_IsLeaf,GanttView[[#This Row],[_Row]])=1,NOT(GanttView[[#This Row],[_IsMilestone]]),N(GanttView[[#This Row],[%]])&gt;0),GanttView[[#This Row],[Forecast Start]],0))</f>
        <v>0</v>
      </c>
      <c r="P96" s="123" t="n">
        <f aca="false">IF(GanttView[[#This Row],[_DoneFrom]]=0,0,IF(GanttView[[#This Row],[%]]&gt;=1,GanttView[[#This Row],[Forecast Finish]],MAX(GanttView[[#This Row],[_DoneFrom]],GanttView[[#This Row],[Forecast Start]]+ROUND((GanttView[[#This Row],[Forecast Finish]]-GanttView[[#This Row],[Forecast Start]]+1)*GanttView[[#This Row],[%]],0)-1)))</f>
        <v>0</v>
      </c>
      <c r="Q96" s="123" t="n">
        <f aca="false">IF(IFERROR(INDEX(tsk_Name,GanttView[[#This Row],[_Row]])="",TRUE()),0,IF(OR(INDEX(tsk_IsLeaf,GanttView[[#This Row],[_Row]])&lt;&gt;1,GanttView[[#This Row],[_IsMilestone]],N(GanttView[[#This Row],[%]])&gt;=1),0,IF(GanttView[[#This Row],[_DoneTo]]&gt;0,GanttView[[#This Row],[_DoneTo]]+1,GanttView[[#This Row],[Forecast Start]])))</f>
        <v>0</v>
      </c>
      <c r="R96" s="123" t="n">
        <f aca="false">IF(GanttView[[#This Row],[_RemFrom]]=0,0,GanttView[[#This Row],[Forecast Finish]])</f>
        <v>0</v>
      </c>
      <c r="S96" s="122" t="b">
        <f aca="false">IF(IFERROR(INDEX(tsk_Name,GanttView[[#This Row],[_Row]])="",TRUE()),FALSE(),N(INDEX(tsk_Variance,GanttView[[#This Row],[_Row]]))&gt;0)</f>
        <v>0</v>
      </c>
      <c r="T96" s="123" t="n">
        <f aca="false">IF(IFERROR(INDEX(tsk_Name,GanttView[[#This Row],[_Row]])="",TRUE()),0,N(INDEX(tsk_Deadline,GanttView[[#This Row],[_Row]])))</f>
        <v>0</v>
      </c>
      <c r="U96" s="122"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Row],[_Row]])="",TRUE()),"",INDEX(tsk_ResourceNames,GanttView[[#This Row],[_Row]])&amp;"")</f>
        <v/>
      </c>
      <c r="K97" s="117" t="str">
        <f aca="false">IF(IFERROR(INDEX(tsk_Name,GanttView[[#This Row],[_Row]])="",TRUE()),"",INDEX(tsk_Status,GanttView[[#This Row],[_Row]]))</f>
        <v/>
      </c>
      <c r="L97" s="121" t="n">
        <f aca="false">ROW()-ROW(GanttView[[#Headers],[ID]])</f>
        <v>92</v>
      </c>
      <c r="M97" s="122" t="b">
        <f aca="false">IF(IFERROR(INDEX(tsk_Name,GanttView[[#This Row],[_Row]])="",TRUE()),FALSE(),INDEX(tsk_IsSummary,GanttView[[#This Row],[_Row]]))</f>
        <v>0</v>
      </c>
      <c r="N97" s="122" t="b">
        <f aca="false">IF(IFERROR(INDEX(tsk_Name,GanttView[[#This Row],[_Row]])="",TRUE()),FALSE(),AND(INDEX(tsk_IsLeaf,GanttView[[#This Row],[_Row]])=1,N(INDEX(tsk_Duration,GanttView[[#This Row],[_Row]]))=0))</f>
        <v>0</v>
      </c>
      <c r="O97" s="123" t="n">
        <f aca="false">IF(IFERROR(INDEX(tsk_Name,GanttView[[#This Row],[_Row]])="",TRUE()),0,IF(AND(INDEX(tsk_IsLeaf,GanttView[[#This Row],[_Row]])=1,NOT(GanttView[[#This Row],[_IsMilestone]]),N(GanttView[[#This Row],[%]])&gt;0),GanttView[[#This Row],[Forecast Start]],0))</f>
        <v>0</v>
      </c>
      <c r="P97" s="123" t="n">
        <f aca="false">IF(GanttView[[#This Row],[_DoneFrom]]=0,0,IF(GanttView[[#This Row],[%]]&gt;=1,GanttView[[#This Row],[Forecast Finish]],MAX(GanttView[[#This Row],[_DoneFrom]],GanttView[[#This Row],[Forecast Start]]+ROUND((GanttView[[#This Row],[Forecast Finish]]-GanttView[[#This Row],[Forecast Start]]+1)*GanttView[[#This Row],[%]],0)-1)))</f>
        <v>0</v>
      </c>
      <c r="Q97" s="123" t="n">
        <f aca="false">IF(IFERROR(INDEX(tsk_Name,GanttView[[#This Row],[_Row]])="",TRUE()),0,IF(OR(INDEX(tsk_IsLeaf,GanttView[[#This Row],[_Row]])&lt;&gt;1,GanttView[[#This Row],[_IsMilestone]],N(GanttView[[#This Row],[%]])&gt;=1),0,IF(GanttView[[#This Row],[_DoneTo]]&gt;0,GanttView[[#This Row],[_DoneTo]]+1,GanttView[[#This Row],[Forecast Start]])))</f>
        <v>0</v>
      </c>
      <c r="R97" s="123" t="n">
        <f aca="false">IF(GanttView[[#This Row],[_RemFrom]]=0,0,GanttView[[#This Row],[Forecast Finish]])</f>
        <v>0</v>
      </c>
      <c r="S97" s="122" t="b">
        <f aca="false">IF(IFERROR(INDEX(tsk_Name,GanttView[[#This Row],[_Row]])="",TRUE()),FALSE(),N(INDEX(tsk_Variance,GanttView[[#This Row],[_Row]]))&gt;0)</f>
        <v>0</v>
      </c>
      <c r="T97" s="123" t="n">
        <f aca="false">IF(IFERROR(INDEX(tsk_Name,GanttView[[#This Row],[_Row]])="",TRUE()),0,N(INDEX(tsk_Deadline,GanttView[[#This Row],[_Row]])))</f>
        <v>0</v>
      </c>
      <c r="U97" s="122"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Row],[_Row]])="",TRUE()),"",INDEX(tsk_ResourceNames,GanttView[[#This Row],[_Row]])&amp;"")</f>
        <v/>
      </c>
      <c r="K98" s="117" t="str">
        <f aca="false">IF(IFERROR(INDEX(tsk_Name,GanttView[[#This Row],[_Row]])="",TRUE()),"",INDEX(tsk_Status,GanttView[[#This Row],[_Row]]))</f>
        <v/>
      </c>
      <c r="L98" s="121" t="n">
        <f aca="false">ROW()-ROW(GanttView[[#Headers],[ID]])</f>
        <v>93</v>
      </c>
      <c r="M98" s="122" t="b">
        <f aca="false">IF(IFERROR(INDEX(tsk_Name,GanttView[[#This Row],[_Row]])="",TRUE()),FALSE(),INDEX(tsk_IsSummary,GanttView[[#This Row],[_Row]]))</f>
        <v>0</v>
      </c>
      <c r="N98" s="122" t="b">
        <f aca="false">IF(IFERROR(INDEX(tsk_Name,GanttView[[#This Row],[_Row]])="",TRUE()),FALSE(),AND(INDEX(tsk_IsLeaf,GanttView[[#This Row],[_Row]])=1,N(INDEX(tsk_Duration,GanttView[[#This Row],[_Row]]))=0))</f>
        <v>0</v>
      </c>
      <c r="O98" s="123" t="n">
        <f aca="false">IF(IFERROR(INDEX(tsk_Name,GanttView[[#This Row],[_Row]])="",TRUE()),0,IF(AND(INDEX(tsk_IsLeaf,GanttView[[#This Row],[_Row]])=1,NOT(GanttView[[#This Row],[_IsMilestone]]),N(GanttView[[#This Row],[%]])&gt;0),GanttView[[#This Row],[Forecast Start]],0))</f>
        <v>0</v>
      </c>
      <c r="P98" s="123" t="n">
        <f aca="false">IF(GanttView[[#This Row],[_DoneFrom]]=0,0,IF(GanttView[[#This Row],[%]]&gt;=1,GanttView[[#This Row],[Forecast Finish]],MAX(GanttView[[#This Row],[_DoneFrom]],GanttView[[#This Row],[Forecast Start]]+ROUND((GanttView[[#This Row],[Forecast Finish]]-GanttView[[#This Row],[Forecast Start]]+1)*GanttView[[#This Row],[%]],0)-1)))</f>
        <v>0</v>
      </c>
      <c r="Q98" s="123" t="n">
        <f aca="false">IF(IFERROR(INDEX(tsk_Name,GanttView[[#This Row],[_Row]])="",TRUE()),0,IF(OR(INDEX(tsk_IsLeaf,GanttView[[#This Row],[_Row]])&lt;&gt;1,GanttView[[#This Row],[_IsMilestone]],N(GanttView[[#This Row],[%]])&gt;=1),0,IF(GanttView[[#This Row],[_DoneTo]]&gt;0,GanttView[[#This Row],[_DoneTo]]+1,GanttView[[#This Row],[Forecast Start]])))</f>
        <v>0</v>
      </c>
      <c r="R98" s="123" t="n">
        <f aca="false">IF(GanttView[[#This Row],[_RemFrom]]=0,0,GanttView[[#This Row],[Forecast Finish]])</f>
        <v>0</v>
      </c>
      <c r="S98" s="122" t="b">
        <f aca="false">IF(IFERROR(INDEX(tsk_Name,GanttView[[#This Row],[_Row]])="",TRUE()),FALSE(),N(INDEX(tsk_Variance,GanttView[[#This Row],[_Row]]))&gt;0)</f>
        <v>0</v>
      </c>
      <c r="T98" s="123" t="n">
        <f aca="false">IF(IFERROR(INDEX(tsk_Name,GanttView[[#This Row],[_Row]])="",TRUE()),0,N(INDEX(tsk_Deadline,GanttView[[#This Row],[_Row]])))</f>
        <v>0</v>
      </c>
      <c r="U98" s="122"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Row],[_Row]])="",TRUE()),"",INDEX(tsk_ResourceNames,GanttView[[#This Row],[_Row]])&amp;"")</f>
        <v/>
      </c>
      <c r="K99" s="117" t="str">
        <f aca="false">IF(IFERROR(INDEX(tsk_Name,GanttView[[#This Row],[_Row]])="",TRUE()),"",INDEX(tsk_Status,GanttView[[#This Row],[_Row]]))</f>
        <v/>
      </c>
      <c r="L99" s="121" t="n">
        <f aca="false">ROW()-ROW(GanttView[[#Headers],[ID]])</f>
        <v>94</v>
      </c>
      <c r="M99" s="122" t="b">
        <f aca="false">IF(IFERROR(INDEX(tsk_Name,GanttView[[#This Row],[_Row]])="",TRUE()),FALSE(),INDEX(tsk_IsSummary,GanttView[[#This Row],[_Row]]))</f>
        <v>0</v>
      </c>
      <c r="N99" s="122" t="b">
        <f aca="false">IF(IFERROR(INDEX(tsk_Name,GanttView[[#This Row],[_Row]])="",TRUE()),FALSE(),AND(INDEX(tsk_IsLeaf,GanttView[[#This Row],[_Row]])=1,N(INDEX(tsk_Duration,GanttView[[#This Row],[_Row]]))=0))</f>
        <v>0</v>
      </c>
      <c r="O99" s="123" t="n">
        <f aca="false">IF(IFERROR(INDEX(tsk_Name,GanttView[[#This Row],[_Row]])="",TRUE()),0,IF(AND(INDEX(tsk_IsLeaf,GanttView[[#This Row],[_Row]])=1,NOT(GanttView[[#This Row],[_IsMilestone]]),N(GanttView[[#This Row],[%]])&gt;0),GanttView[[#This Row],[Forecast Start]],0))</f>
        <v>0</v>
      </c>
      <c r="P99" s="123" t="n">
        <f aca="false">IF(GanttView[[#This Row],[_DoneFrom]]=0,0,IF(GanttView[[#This Row],[%]]&gt;=1,GanttView[[#This Row],[Forecast Finish]],MAX(GanttView[[#This Row],[_DoneFrom]],GanttView[[#This Row],[Forecast Start]]+ROUND((GanttView[[#This Row],[Forecast Finish]]-GanttView[[#This Row],[Forecast Start]]+1)*GanttView[[#This Row],[%]],0)-1)))</f>
        <v>0</v>
      </c>
      <c r="Q99" s="123" t="n">
        <f aca="false">IF(IFERROR(INDEX(tsk_Name,GanttView[[#This Row],[_Row]])="",TRUE()),0,IF(OR(INDEX(tsk_IsLeaf,GanttView[[#This Row],[_Row]])&lt;&gt;1,GanttView[[#This Row],[_IsMilestone]],N(GanttView[[#This Row],[%]])&gt;=1),0,IF(GanttView[[#This Row],[_DoneTo]]&gt;0,GanttView[[#This Row],[_DoneTo]]+1,GanttView[[#This Row],[Forecast Start]])))</f>
        <v>0</v>
      </c>
      <c r="R99" s="123" t="n">
        <f aca="false">IF(GanttView[[#This Row],[_RemFrom]]=0,0,GanttView[[#This Row],[Forecast Finish]])</f>
        <v>0</v>
      </c>
      <c r="S99" s="122" t="b">
        <f aca="false">IF(IFERROR(INDEX(tsk_Name,GanttView[[#This Row],[_Row]])="",TRUE()),FALSE(),N(INDEX(tsk_Variance,GanttView[[#This Row],[_Row]]))&gt;0)</f>
        <v>0</v>
      </c>
      <c r="T99" s="123" t="n">
        <f aca="false">IF(IFERROR(INDEX(tsk_Name,GanttView[[#This Row],[_Row]])="",TRUE()),0,N(INDEX(tsk_Deadline,GanttView[[#This Row],[_Row]])))</f>
        <v>0</v>
      </c>
      <c r="U99" s="122"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Row],[_Row]])="",TRUE()),"",INDEX(tsk_ResourceNames,GanttView[[#This Row],[_Row]])&amp;"")</f>
        <v/>
      </c>
      <c r="K100" s="117" t="str">
        <f aca="false">IF(IFERROR(INDEX(tsk_Name,GanttView[[#This Row],[_Row]])="",TRUE()),"",INDEX(tsk_Status,GanttView[[#This Row],[_Row]]))</f>
        <v/>
      </c>
      <c r="L100" s="121" t="n">
        <f aca="false">ROW()-ROW(GanttView[[#Headers],[ID]])</f>
        <v>95</v>
      </c>
      <c r="M100" s="122" t="b">
        <f aca="false">IF(IFERROR(INDEX(tsk_Name,GanttView[[#This Row],[_Row]])="",TRUE()),FALSE(),INDEX(tsk_IsSummary,GanttView[[#This Row],[_Row]]))</f>
        <v>0</v>
      </c>
      <c r="N100" s="122" t="b">
        <f aca="false">IF(IFERROR(INDEX(tsk_Name,GanttView[[#This Row],[_Row]])="",TRUE()),FALSE(),AND(INDEX(tsk_IsLeaf,GanttView[[#This Row],[_Row]])=1,N(INDEX(tsk_Duration,GanttView[[#This Row],[_Row]]))=0))</f>
        <v>0</v>
      </c>
      <c r="O100" s="123" t="n">
        <f aca="false">IF(IFERROR(INDEX(tsk_Name,GanttView[[#This Row],[_Row]])="",TRUE()),0,IF(AND(INDEX(tsk_IsLeaf,GanttView[[#This Row],[_Row]])=1,NOT(GanttView[[#This Row],[_IsMilestone]]),N(GanttView[[#This Row],[%]])&gt;0),GanttView[[#This Row],[Forecast Start]],0))</f>
        <v>0</v>
      </c>
      <c r="P100" s="123" t="n">
        <f aca="false">IF(GanttView[[#This Row],[_DoneFrom]]=0,0,IF(GanttView[[#This Row],[%]]&gt;=1,GanttView[[#This Row],[Forecast Finish]],MAX(GanttView[[#This Row],[_DoneFrom]],GanttView[[#This Row],[Forecast Start]]+ROUND((GanttView[[#This Row],[Forecast Finish]]-GanttView[[#This Row],[Forecast Start]]+1)*GanttView[[#This Row],[%]],0)-1)))</f>
        <v>0</v>
      </c>
      <c r="Q100" s="123" t="n">
        <f aca="false">IF(IFERROR(INDEX(tsk_Name,GanttView[[#This Row],[_Row]])="",TRUE()),0,IF(OR(INDEX(tsk_IsLeaf,GanttView[[#This Row],[_Row]])&lt;&gt;1,GanttView[[#This Row],[_IsMilestone]],N(GanttView[[#This Row],[%]])&gt;=1),0,IF(GanttView[[#This Row],[_DoneTo]]&gt;0,GanttView[[#This Row],[_DoneTo]]+1,GanttView[[#This Row],[Forecast Start]])))</f>
        <v>0</v>
      </c>
      <c r="R100" s="123" t="n">
        <f aca="false">IF(GanttView[[#This Row],[_RemFrom]]=0,0,GanttView[[#This Row],[Forecast Finish]])</f>
        <v>0</v>
      </c>
      <c r="S100" s="122" t="b">
        <f aca="false">IF(IFERROR(INDEX(tsk_Name,GanttView[[#This Row],[_Row]])="",TRUE()),FALSE(),N(INDEX(tsk_Variance,GanttView[[#This Row],[_Row]]))&gt;0)</f>
        <v>0</v>
      </c>
      <c r="T100" s="123" t="n">
        <f aca="false">IF(IFERROR(INDEX(tsk_Name,GanttView[[#This Row],[_Row]])="",TRUE()),0,N(INDEX(tsk_Deadline,GanttView[[#This Row],[_Row]])))</f>
        <v>0</v>
      </c>
      <c r="U100" s="122"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Row],[_Row]])="",TRUE()),"",INDEX(tsk_ResourceNames,GanttView[[#This Row],[_Row]])&amp;"")</f>
        <v/>
      </c>
      <c r="K101" s="117" t="str">
        <f aca="false">IF(IFERROR(INDEX(tsk_Name,GanttView[[#This Row],[_Row]])="",TRUE()),"",INDEX(tsk_Status,GanttView[[#This Row],[_Row]]))</f>
        <v/>
      </c>
      <c r="L101" s="121" t="n">
        <f aca="false">ROW()-ROW(GanttView[[#Headers],[ID]])</f>
        <v>96</v>
      </c>
      <c r="M101" s="122" t="b">
        <f aca="false">IF(IFERROR(INDEX(tsk_Name,GanttView[[#This Row],[_Row]])="",TRUE()),FALSE(),INDEX(tsk_IsSummary,GanttView[[#This Row],[_Row]]))</f>
        <v>0</v>
      </c>
      <c r="N101" s="122" t="b">
        <f aca="false">IF(IFERROR(INDEX(tsk_Name,GanttView[[#This Row],[_Row]])="",TRUE()),FALSE(),AND(INDEX(tsk_IsLeaf,GanttView[[#This Row],[_Row]])=1,N(INDEX(tsk_Duration,GanttView[[#This Row],[_Row]]))=0))</f>
        <v>0</v>
      </c>
      <c r="O101" s="123" t="n">
        <f aca="false">IF(IFERROR(INDEX(tsk_Name,GanttView[[#This Row],[_Row]])="",TRUE()),0,IF(AND(INDEX(tsk_IsLeaf,GanttView[[#This Row],[_Row]])=1,NOT(GanttView[[#This Row],[_IsMilestone]]),N(GanttView[[#This Row],[%]])&gt;0),GanttView[[#This Row],[Forecast Start]],0))</f>
        <v>0</v>
      </c>
      <c r="P101" s="123" t="n">
        <f aca="false">IF(GanttView[[#This Row],[_DoneFrom]]=0,0,IF(GanttView[[#This Row],[%]]&gt;=1,GanttView[[#This Row],[Forecast Finish]],MAX(GanttView[[#This Row],[_DoneFrom]],GanttView[[#This Row],[Forecast Start]]+ROUND((GanttView[[#This Row],[Forecast Finish]]-GanttView[[#This Row],[Forecast Start]]+1)*GanttView[[#This Row],[%]],0)-1)))</f>
        <v>0</v>
      </c>
      <c r="Q101" s="123" t="n">
        <f aca="false">IF(IFERROR(INDEX(tsk_Name,GanttView[[#This Row],[_Row]])="",TRUE()),0,IF(OR(INDEX(tsk_IsLeaf,GanttView[[#This Row],[_Row]])&lt;&gt;1,GanttView[[#This Row],[_IsMilestone]],N(GanttView[[#This Row],[%]])&gt;=1),0,IF(GanttView[[#This Row],[_DoneTo]]&gt;0,GanttView[[#This Row],[_DoneTo]]+1,GanttView[[#This Row],[Forecast Start]])))</f>
        <v>0</v>
      </c>
      <c r="R101" s="123" t="n">
        <f aca="false">IF(GanttView[[#This Row],[_RemFrom]]=0,0,GanttView[[#This Row],[Forecast Finish]])</f>
        <v>0</v>
      </c>
      <c r="S101" s="122" t="b">
        <f aca="false">IF(IFERROR(INDEX(tsk_Name,GanttView[[#This Row],[_Row]])="",TRUE()),FALSE(),N(INDEX(tsk_Variance,GanttView[[#This Row],[_Row]]))&gt;0)</f>
        <v>0</v>
      </c>
      <c r="T101" s="123" t="n">
        <f aca="false">IF(IFERROR(INDEX(tsk_Name,GanttView[[#This Row],[_Row]])="",TRUE()),0,N(INDEX(tsk_Deadline,GanttView[[#This Row],[_Row]])))</f>
        <v>0</v>
      </c>
      <c r="U101" s="122"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Row],[_Row]])="",TRUE()),"",INDEX(tsk_ResourceNames,GanttView[[#This Row],[_Row]])&amp;"")</f>
        <v/>
      </c>
      <c r="K102" s="117" t="str">
        <f aca="false">IF(IFERROR(INDEX(tsk_Name,GanttView[[#This Row],[_Row]])="",TRUE()),"",INDEX(tsk_Status,GanttView[[#This Row],[_Row]]))</f>
        <v/>
      </c>
      <c r="L102" s="121" t="n">
        <f aca="false">ROW()-ROW(GanttView[[#Headers],[ID]])</f>
        <v>97</v>
      </c>
      <c r="M102" s="122" t="b">
        <f aca="false">IF(IFERROR(INDEX(tsk_Name,GanttView[[#This Row],[_Row]])="",TRUE()),FALSE(),INDEX(tsk_IsSummary,GanttView[[#This Row],[_Row]]))</f>
        <v>0</v>
      </c>
      <c r="N102" s="122" t="b">
        <f aca="false">IF(IFERROR(INDEX(tsk_Name,GanttView[[#This Row],[_Row]])="",TRUE()),FALSE(),AND(INDEX(tsk_IsLeaf,GanttView[[#This Row],[_Row]])=1,N(INDEX(tsk_Duration,GanttView[[#This Row],[_Row]]))=0))</f>
        <v>0</v>
      </c>
      <c r="O102" s="123" t="n">
        <f aca="false">IF(IFERROR(INDEX(tsk_Name,GanttView[[#This Row],[_Row]])="",TRUE()),0,IF(AND(INDEX(tsk_IsLeaf,GanttView[[#This Row],[_Row]])=1,NOT(GanttView[[#This Row],[_IsMilestone]]),N(GanttView[[#This Row],[%]])&gt;0),GanttView[[#This Row],[Forecast Start]],0))</f>
        <v>0</v>
      </c>
      <c r="P102" s="123" t="n">
        <f aca="false">IF(GanttView[[#This Row],[_DoneFrom]]=0,0,IF(GanttView[[#This Row],[%]]&gt;=1,GanttView[[#This Row],[Forecast Finish]],MAX(GanttView[[#This Row],[_DoneFrom]],GanttView[[#This Row],[Forecast Start]]+ROUND((GanttView[[#This Row],[Forecast Finish]]-GanttView[[#This Row],[Forecast Start]]+1)*GanttView[[#This Row],[%]],0)-1)))</f>
        <v>0</v>
      </c>
      <c r="Q102" s="123" t="n">
        <f aca="false">IF(IFERROR(INDEX(tsk_Name,GanttView[[#This Row],[_Row]])="",TRUE()),0,IF(OR(INDEX(tsk_IsLeaf,GanttView[[#This Row],[_Row]])&lt;&gt;1,GanttView[[#This Row],[_IsMilestone]],N(GanttView[[#This Row],[%]])&gt;=1),0,IF(GanttView[[#This Row],[_DoneTo]]&gt;0,GanttView[[#This Row],[_DoneTo]]+1,GanttView[[#This Row],[Forecast Start]])))</f>
        <v>0</v>
      </c>
      <c r="R102" s="123" t="n">
        <f aca="false">IF(GanttView[[#This Row],[_RemFrom]]=0,0,GanttView[[#This Row],[Forecast Finish]])</f>
        <v>0</v>
      </c>
      <c r="S102" s="122" t="b">
        <f aca="false">IF(IFERROR(INDEX(tsk_Name,GanttView[[#This Row],[_Row]])="",TRUE()),FALSE(),N(INDEX(tsk_Variance,GanttView[[#This Row],[_Row]]))&gt;0)</f>
        <v>0</v>
      </c>
      <c r="T102" s="123" t="n">
        <f aca="false">IF(IFERROR(INDEX(tsk_Name,GanttView[[#This Row],[_Row]])="",TRUE()),0,N(INDEX(tsk_Deadline,GanttView[[#This Row],[_Row]])))</f>
        <v>0</v>
      </c>
      <c r="U102" s="122"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Row],[_Row]])="",TRUE()),"",INDEX(tsk_ResourceNames,GanttView[[#This Row],[_Row]])&amp;"")</f>
        <v/>
      </c>
      <c r="K103" s="117" t="str">
        <f aca="false">IF(IFERROR(INDEX(tsk_Name,GanttView[[#This Row],[_Row]])="",TRUE()),"",INDEX(tsk_Status,GanttView[[#This Row],[_Row]]))</f>
        <v/>
      </c>
      <c r="L103" s="121" t="n">
        <f aca="false">ROW()-ROW(GanttView[[#Headers],[ID]])</f>
        <v>98</v>
      </c>
      <c r="M103" s="122" t="b">
        <f aca="false">IF(IFERROR(INDEX(tsk_Name,GanttView[[#This Row],[_Row]])="",TRUE()),FALSE(),INDEX(tsk_IsSummary,GanttView[[#This Row],[_Row]]))</f>
        <v>0</v>
      </c>
      <c r="N103" s="122" t="b">
        <f aca="false">IF(IFERROR(INDEX(tsk_Name,GanttView[[#This Row],[_Row]])="",TRUE()),FALSE(),AND(INDEX(tsk_IsLeaf,GanttView[[#This Row],[_Row]])=1,N(INDEX(tsk_Duration,GanttView[[#This Row],[_Row]]))=0))</f>
        <v>0</v>
      </c>
      <c r="O103" s="123" t="n">
        <f aca="false">IF(IFERROR(INDEX(tsk_Name,GanttView[[#This Row],[_Row]])="",TRUE()),0,IF(AND(INDEX(tsk_IsLeaf,GanttView[[#This Row],[_Row]])=1,NOT(GanttView[[#This Row],[_IsMilestone]]),N(GanttView[[#This Row],[%]])&gt;0),GanttView[[#This Row],[Forecast Start]],0))</f>
        <v>0</v>
      </c>
      <c r="P103" s="123" t="n">
        <f aca="false">IF(GanttView[[#This Row],[_DoneFrom]]=0,0,IF(GanttView[[#This Row],[%]]&gt;=1,GanttView[[#This Row],[Forecast Finish]],MAX(GanttView[[#This Row],[_DoneFrom]],GanttView[[#This Row],[Forecast Start]]+ROUND((GanttView[[#This Row],[Forecast Finish]]-GanttView[[#This Row],[Forecast Start]]+1)*GanttView[[#This Row],[%]],0)-1)))</f>
        <v>0</v>
      </c>
      <c r="Q103" s="123" t="n">
        <f aca="false">IF(IFERROR(INDEX(tsk_Name,GanttView[[#This Row],[_Row]])="",TRUE()),0,IF(OR(INDEX(tsk_IsLeaf,GanttView[[#This Row],[_Row]])&lt;&gt;1,GanttView[[#This Row],[_IsMilestone]],N(GanttView[[#This Row],[%]])&gt;=1),0,IF(GanttView[[#This Row],[_DoneTo]]&gt;0,GanttView[[#This Row],[_DoneTo]]+1,GanttView[[#This Row],[Forecast Start]])))</f>
        <v>0</v>
      </c>
      <c r="R103" s="123" t="n">
        <f aca="false">IF(GanttView[[#This Row],[_RemFrom]]=0,0,GanttView[[#This Row],[Forecast Finish]])</f>
        <v>0</v>
      </c>
      <c r="S103" s="122" t="b">
        <f aca="false">IF(IFERROR(INDEX(tsk_Name,GanttView[[#This Row],[_Row]])="",TRUE()),FALSE(),N(INDEX(tsk_Variance,GanttView[[#This Row],[_Row]]))&gt;0)</f>
        <v>0</v>
      </c>
      <c r="T103" s="123" t="n">
        <f aca="false">IF(IFERROR(INDEX(tsk_Name,GanttView[[#This Row],[_Row]])="",TRUE()),0,N(INDEX(tsk_Deadline,GanttView[[#This Row],[_Row]])))</f>
        <v>0</v>
      </c>
      <c r="U103" s="122"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Row],[_Row]])="",TRUE()),"",INDEX(tsk_ResourceNames,GanttView[[#This Row],[_Row]])&amp;"")</f>
        <v/>
      </c>
      <c r="K104" s="117" t="str">
        <f aca="false">IF(IFERROR(INDEX(tsk_Name,GanttView[[#This Row],[_Row]])="",TRUE()),"",INDEX(tsk_Status,GanttView[[#This Row],[_Row]]))</f>
        <v/>
      </c>
      <c r="L104" s="121" t="n">
        <f aca="false">ROW()-ROW(GanttView[[#Headers],[ID]])</f>
        <v>99</v>
      </c>
      <c r="M104" s="122" t="b">
        <f aca="false">IF(IFERROR(INDEX(tsk_Name,GanttView[[#This Row],[_Row]])="",TRUE()),FALSE(),INDEX(tsk_IsSummary,GanttView[[#This Row],[_Row]]))</f>
        <v>0</v>
      </c>
      <c r="N104" s="122" t="b">
        <f aca="false">IF(IFERROR(INDEX(tsk_Name,GanttView[[#This Row],[_Row]])="",TRUE()),FALSE(),AND(INDEX(tsk_IsLeaf,GanttView[[#This Row],[_Row]])=1,N(INDEX(tsk_Duration,GanttView[[#This Row],[_Row]]))=0))</f>
        <v>0</v>
      </c>
      <c r="O104" s="123" t="n">
        <f aca="false">IF(IFERROR(INDEX(tsk_Name,GanttView[[#This Row],[_Row]])="",TRUE()),0,IF(AND(INDEX(tsk_IsLeaf,GanttView[[#This Row],[_Row]])=1,NOT(GanttView[[#This Row],[_IsMilestone]]),N(GanttView[[#This Row],[%]])&gt;0),GanttView[[#This Row],[Forecast Start]],0))</f>
        <v>0</v>
      </c>
      <c r="P104" s="123" t="n">
        <f aca="false">IF(GanttView[[#This Row],[_DoneFrom]]=0,0,IF(GanttView[[#This Row],[%]]&gt;=1,GanttView[[#This Row],[Forecast Finish]],MAX(GanttView[[#This Row],[_DoneFrom]],GanttView[[#This Row],[Forecast Start]]+ROUND((GanttView[[#This Row],[Forecast Finish]]-GanttView[[#This Row],[Forecast Start]]+1)*GanttView[[#This Row],[%]],0)-1)))</f>
        <v>0</v>
      </c>
      <c r="Q104" s="123" t="n">
        <f aca="false">IF(IFERROR(INDEX(tsk_Name,GanttView[[#This Row],[_Row]])="",TRUE()),0,IF(OR(INDEX(tsk_IsLeaf,GanttView[[#This Row],[_Row]])&lt;&gt;1,GanttView[[#This Row],[_IsMilestone]],N(GanttView[[#This Row],[%]])&gt;=1),0,IF(GanttView[[#This Row],[_DoneTo]]&gt;0,GanttView[[#This Row],[_DoneTo]]+1,GanttView[[#This Row],[Forecast Start]])))</f>
        <v>0</v>
      </c>
      <c r="R104" s="123" t="n">
        <f aca="false">IF(GanttView[[#This Row],[_RemFrom]]=0,0,GanttView[[#This Row],[Forecast Finish]])</f>
        <v>0</v>
      </c>
      <c r="S104" s="122" t="b">
        <f aca="false">IF(IFERROR(INDEX(tsk_Name,GanttView[[#This Row],[_Row]])="",TRUE()),FALSE(),N(INDEX(tsk_Variance,GanttView[[#This Row],[_Row]]))&gt;0)</f>
        <v>0</v>
      </c>
      <c r="T104" s="123" t="n">
        <f aca="false">IF(IFERROR(INDEX(tsk_Name,GanttView[[#This Row],[_Row]])="",TRUE()),0,N(INDEX(tsk_Deadline,GanttView[[#This Row],[_Row]])))</f>
        <v>0</v>
      </c>
      <c r="U104" s="122"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Row],[_Row]])="",TRUE()),"",INDEX(tsk_ResourceNames,GanttView[[#This Row],[_Row]])&amp;"")</f>
        <v/>
      </c>
      <c r="K105" s="117" t="str">
        <f aca="false">IF(IFERROR(INDEX(tsk_Name,GanttView[[#This Row],[_Row]])="",TRUE()),"",INDEX(tsk_Status,GanttView[[#This Row],[_Row]]))</f>
        <v/>
      </c>
      <c r="L105" s="121" t="n">
        <f aca="false">ROW()-ROW(GanttView[[#Headers],[ID]])</f>
        <v>100</v>
      </c>
      <c r="M105" s="122" t="b">
        <f aca="false">IF(IFERROR(INDEX(tsk_Name,GanttView[[#This Row],[_Row]])="",TRUE()),FALSE(),INDEX(tsk_IsSummary,GanttView[[#This Row],[_Row]]))</f>
        <v>0</v>
      </c>
      <c r="N105" s="122" t="b">
        <f aca="false">IF(IFERROR(INDEX(tsk_Name,GanttView[[#This Row],[_Row]])="",TRUE()),FALSE(),AND(INDEX(tsk_IsLeaf,GanttView[[#This Row],[_Row]])=1,N(INDEX(tsk_Duration,GanttView[[#This Row],[_Row]]))=0))</f>
        <v>0</v>
      </c>
      <c r="O105" s="123" t="n">
        <f aca="false">IF(IFERROR(INDEX(tsk_Name,GanttView[[#This Row],[_Row]])="",TRUE()),0,IF(AND(INDEX(tsk_IsLeaf,GanttView[[#This Row],[_Row]])=1,NOT(GanttView[[#This Row],[_IsMilestone]]),N(GanttView[[#This Row],[%]])&gt;0),GanttView[[#This Row],[Forecast Start]],0))</f>
        <v>0</v>
      </c>
      <c r="P105" s="123" t="n">
        <f aca="false">IF(GanttView[[#This Row],[_DoneFrom]]=0,0,IF(GanttView[[#This Row],[%]]&gt;=1,GanttView[[#This Row],[Forecast Finish]],MAX(GanttView[[#This Row],[_DoneFrom]],GanttView[[#This Row],[Forecast Start]]+ROUND((GanttView[[#This Row],[Forecast Finish]]-GanttView[[#This Row],[Forecast Start]]+1)*GanttView[[#This Row],[%]],0)-1)))</f>
        <v>0</v>
      </c>
      <c r="Q105" s="123" t="n">
        <f aca="false">IF(IFERROR(INDEX(tsk_Name,GanttView[[#This Row],[_Row]])="",TRUE()),0,IF(OR(INDEX(tsk_IsLeaf,GanttView[[#This Row],[_Row]])&lt;&gt;1,GanttView[[#This Row],[_IsMilestone]],N(GanttView[[#This Row],[%]])&gt;=1),0,IF(GanttView[[#This Row],[_DoneTo]]&gt;0,GanttView[[#This Row],[_DoneTo]]+1,GanttView[[#This Row],[Forecast Start]])))</f>
        <v>0</v>
      </c>
      <c r="R105" s="123" t="n">
        <f aca="false">IF(GanttView[[#This Row],[_RemFrom]]=0,0,GanttView[[#This Row],[Forecast Finish]])</f>
        <v>0</v>
      </c>
      <c r="S105" s="122" t="b">
        <f aca="false">IF(IFERROR(INDEX(tsk_Name,GanttView[[#This Row],[_Row]])="",TRUE()),FALSE(),N(INDEX(tsk_Variance,GanttView[[#This Row],[_Row]]))&gt;0)</f>
        <v>0</v>
      </c>
      <c r="T105" s="123" t="n">
        <f aca="false">IF(IFERROR(INDEX(tsk_Name,GanttView[[#This Row],[_Row]])="",TRUE()),0,N(INDEX(tsk_Deadline,GanttView[[#This Row],[_Row]])))</f>
        <v>0</v>
      </c>
      <c r="U105" s="122"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Row],[_Row]])="",TRUE()),"",INDEX(tsk_ResourceNames,GanttView[[#This Row],[_Row]])&amp;"")</f>
        <v/>
      </c>
      <c r="K106" s="117" t="str">
        <f aca="false">IF(IFERROR(INDEX(tsk_Name,GanttView[[#This Row],[_Row]])="",TRUE()),"",INDEX(tsk_Status,GanttView[[#This Row],[_Row]]))</f>
        <v/>
      </c>
      <c r="L106" s="121" t="n">
        <f aca="false">ROW()-ROW(GanttView[[#Headers],[ID]])</f>
        <v>101</v>
      </c>
      <c r="M106" s="122" t="b">
        <f aca="false">IF(IFERROR(INDEX(tsk_Name,GanttView[[#This Row],[_Row]])="",TRUE()),FALSE(),INDEX(tsk_IsSummary,GanttView[[#This Row],[_Row]]))</f>
        <v>0</v>
      </c>
      <c r="N106" s="122" t="b">
        <f aca="false">IF(IFERROR(INDEX(tsk_Name,GanttView[[#This Row],[_Row]])="",TRUE()),FALSE(),AND(INDEX(tsk_IsLeaf,GanttView[[#This Row],[_Row]])=1,N(INDEX(tsk_Duration,GanttView[[#This Row],[_Row]]))=0))</f>
        <v>0</v>
      </c>
      <c r="O106" s="123" t="n">
        <f aca="false">IF(IFERROR(INDEX(tsk_Name,GanttView[[#This Row],[_Row]])="",TRUE()),0,IF(AND(INDEX(tsk_IsLeaf,GanttView[[#This Row],[_Row]])=1,NOT(GanttView[[#This Row],[_IsMilestone]]),N(GanttView[[#This Row],[%]])&gt;0),GanttView[[#This Row],[Forecast Start]],0))</f>
        <v>0</v>
      </c>
      <c r="P106" s="123" t="n">
        <f aca="false">IF(GanttView[[#This Row],[_DoneFrom]]=0,0,IF(GanttView[[#This Row],[%]]&gt;=1,GanttView[[#This Row],[Forecast Finish]],MAX(GanttView[[#This Row],[_DoneFrom]],GanttView[[#This Row],[Forecast Start]]+ROUND((GanttView[[#This Row],[Forecast Finish]]-GanttView[[#This Row],[Forecast Start]]+1)*GanttView[[#This Row],[%]],0)-1)))</f>
        <v>0</v>
      </c>
      <c r="Q106" s="123" t="n">
        <f aca="false">IF(IFERROR(INDEX(tsk_Name,GanttView[[#This Row],[_Row]])="",TRUE()),0,IF(OR(INDEX(tsk_IsLeaf,GanttView[[#This Row],[_Row]])&lt;&gt;1,GanttView[[#This Row],[_IsMilestone]],N(GanttView[[#This Row],[%]])&gt;=1),0,IF(GanttView[[#This Row],[_DoneTo]]&gt;0,GanttView[[#This Row],[_DoneTo]]+1,GanttView[[#This Row],[Forecast Start]])))</f>
        <v>0</v>
      </c>
      <c r="R106" s="123" t="n">
        <f aca="false">IF(GanttView[[#This Row],[_RemFrom]]=0,0,GanttView[[#This Row],[Forecast Finish]])</f>
        <v>0</v>
      </c>
      <c r="S106" s="122" t="b">
        <f aca="false">IF(IFERROR(INDEX(tsk_Name,GanttView[[#This Row],[_Row]])="",TRUE()),FALSE(),N(INDEX(tsk_Variance,GanttView[[#This Row],[_Row]]))&gt;0)</f>
        <v>0</v>
      </c>
      <c r="T106" s="123" t="n">
        <f aca="false">IF(IFERROR(INDEX(tsk_Name,GanttView[[#This Row],[_Row]])="",TRUE()),0,N(INDEX(tsk_Deadline,GanttView[[#This Row],[_Row]])))</f>
        <v>0</v>
      </c>
      <c r="U106" s="122"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Row],[_Row]])="",TRUE()),"",INDEX(tsk_ResourceNames,GanttView[[#This Row],[_Row]])&amp;"")</f>
        <v/>
      </c>
      <c r="K107" s="117" t="str">
        <f aca="false">IF(IFERROR(INDEX(tsk_Name,GanttView[[#This Row],[_Row]])="",TRUE()),"",INDEX(tsk_Status,GanttView[[#This Row],[_Row]]))</f>
        <v/>
      </c>
      <c r="L107" s="121" t="n">
        <f aca="false">ROW()-ROW(GanttView[[#Headers],[ID]])</f>
        <v>102</v>
      </c>
      <c r="M107" s="122" t="b">
        <f aca="false">IF(IFERROR(INDEX(tsk_Name,GanttView[[#This Row],[_Row]])="",TRUE()),FALSE(),INDEX(tsk_IsSummary,GanttView[[#This Row],[_Row]]))</f>
        <v>0</v>
      </c>
      <c r="N107" s="122" t="b">
        <f aca="false">IF(IFERROR(INDEX(tsk_Name,GanttView[[#This Row],[_Row]])="",TRUE()),FALSE(),AND(INDEX(tsk_IsLeaf,GanttView[[#This Row],[_Row]])=1,N(INDEX(tsk_Duration,GanttView[[#This Row],[_Row]]))=0))</f>
        <v>0</v>
      </c>
      <c r="O107" s="123" t="n">
        <f aca="false">IF(IFERROR(INDEX(tsk_Name,GanttView[[#This Row],[_Row]])="",TRUE()),0,IF(AND(INDEX(tsk_IsLeaf,GanttView[[#This Row],[_Row]])=1,NOT(GanttView[[#This Row],[_IsMilestone]]),N(GanttView[[#This Row],[%]])&gt;0),GanttView[[#This Row],[Forecast Start]],0))</f>
        <v>0</v>
      </c>
      <c r="P107" s="123" t="n">
        <f aca="false">IF(GanttView[[#This Row],[_DoneFrom]]=0,0,IF(GanttView[[#This Row],[%]]&gt;=1,GanttView[[#This Row],[Forecast Finish]],MAX(GanttView[[#This Row],[_DoneFrom]],GanttView[[#This Row],[Forecast Start]]+ROUND((GanttView[[#This Row],[Forecast Finish]]-GanttView[[#This Row],[Forecast Start]]+1)*GanttView[[#This Row],[%]],0)-1)))</f>
        <v>0</v>
      </c>
      <c r="Q107" s="123" t="n">
        <f aca="false">IF(IFERROR(INDEX(tsk_Name,GanttView[[#This Row],[_Row]])="",TRUE()),0,IF(OR(INDEX(tsk_IsLeaf,GanttView[[#This Row],[_Row]])&lt;&gt;1,GanttView[[#This Row],[_IsMilestone]],N(GanttView[[#This Row],[%]])&gt;=1),0,IF(GanttView[[#This Row],[_DoneTo]]&gt;0,GanttView[[#This Row],[_DoneTo]]+1,GanttView[[#This Row],[Forecast Start]])))</f>
        <v>0</v>
      </c>
      <c r="R107" s="123" t="n">
        <f aca="false">IF(GanttView[[#This Row],[_RemFrom]]=0,0,GanttView[[#This Row],[Forecast Finish]])</f>
        <v>0</v>
      </c>
      <c r="S107" s="122" t="b">
        <f aca="false">IF(IFERROR(INDEX(tsk_Name,GanttView[[#This Row],[_Row]])="",TRUE()),FALSE(),N(INDEX(tsk_Variance,GanttView[[#This Row],[_Row]]))&gt;0)</f>
        <v>0</v>
      </c>
      <c r="T107" s="123" t="n">
        <f aca="false">IF(IFERROR(INDEX(tsk_Name,GanttView[[#This Row],[_Row]])="",TRUE()),0,N(INDEX(tsk_Deadline,GanttView[[#This Row],[_Row]])))</f>
        <v>0</v>
      </c>
      <c r="U107" s="122"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Row],[_Row]])="",TRUE()),"",INDEX(tsk_ResourceNames,GanttView[[#This Row],[_Row]])&amp;"")</f>
        <v/>
      </c>
      <c r="K108" s="117" t="str">
        <f aca="false">IF(IFERROR(INDEX(tsk_Name,GanttView[[#This Row],[_Row]])="",TRUE()),"",INDEX(tsk_Status,GanttView[[#This Row],[_Row]]))</f>
        <v/>
      </c>
      <c r="L108" s="121" t="n">
        <f aca="false">ROW()-ROW(GanttView[[#Headers],[ID]])</f>
        <v>103</v>
      </c>
      <c r="M108" s="122" t="b">
        <f aca="false">IF(IFERROR(INDEX(tsk_Name,GanttView[[#This Row],[_Row]])="",TRUE()),FALSE(),INDEX(tsk_IsSummary,GanttView[[#This Row],[_Row]]))</f>
        <v>0</v>
      </c>
      <c r="N108" s="122" t="b">
        <f aca="false">IF(IFERROR(INDEX(tsk_Name,GanttView[[#This Row],[_Row]])="",TRUE()),FALSE(),AND(INDEX(tsk_IsLeaf,GanttView[[#This Row],[_Row]])=1,N(INDEX(tsk_Duration,GanttView[[#This Row],[_Row]]))=0))</f>
        <v>0</v>
      </c>
      <c r="O108" s="123" t="n">
        <f aca="false">IF(IFERROR(INDEX(tsk_Name,GanttView[[#This Row],[_Row]])="",TRUE()),0,IF(AND(INDEX(tsk_IsLeaf,GanttView[[#This Row],[_Row]])=1,NOT(GanttView[[#This Row],[_IsMilestone]]),N(GanttView[[#This Row],[%]])&gt;0),GanttView[[#This Row],[Forecast Start]],0))</f>
        <v>0</v>
      </c>
      <c r="P108" s="123" t="n">
        <f aca="false">IF(GanttView[[#This Row],[_DoneFrom]]=0,0,IF(GanttView[[#This Row],[%]]&gt;=1,GanttView[[#This Row],[Forecast Finish]],MAX(GanttView[[#This Row],[_DoneFrom]],GanttView[[#This Row],[Forecast Start]]+ROUND((GanttView[[#This Row],[Forecast Finish]]-GanttView[[#This Row],[Forecast Start]]+1)*GanttView[[#This Row],[%]],0)-1)))</f>
        <v>0</v>
      </c>
      <c r="Q108" s="123" t="n">
        <f aca="false">IF(IFERROR(INDEX(tsk_Name,GanttView[[#This Row],[_Row]])="",TRUE()),0,IF(OR(INDEX(tsk_IsLeaf,GanttView[[#This Row],[_Row]])&lt;&gt;1,GanttView[[#This Row],[_IsMilestone]],N(GanttView[[#This Row],[%]])&gt;=1),0,IF(GanttView[[#This Row],[_DoneTo]]&gt;0,GanttView[[#This Row],[_DoneTo]]+1,GanttView[[#This Row],[Forecast Start]])))</f>
        <v>0</v>
      </c>
      <c r="R108" s="123" t="n">
        <f aca="false">IF(GanttView[[#This Row],[_RemFrom]]=0,0,GanttView[[#This Row],[Forecast Finish]])</f>
        <v>0</v>
      </c>
      <c r="S108" s="122" t="b">
        <f aca="false">IF(IFERROR(INDEX(tsk_Name,GanttView[[#This Row],[_Row]])="",TRUE()),FALSE(),N(INDEX(tsk_Variance,GanttView[[#This Row],[_Row]]))&gt;0)</f>
        <v>0</v>
      </c>
      <c r="T108" s="123" t="n">
        <f aca="false">IF(IFERROR(INDEX(tsk_Name,GanttView[[#This Row],[_Row]])="",TRUE()),0,N(INDEX(tsk_Deadline,GanttView[[#This Row],[_Row]])))</f>
        <v>0</v>
      </c>
      <c r="U108" s="122"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Row],[_Row]])="",TRUE()),"",INDEX(tsk_ResourceNames,GanttView[[#This Row],[_Row]])&amp;"")</f>
        <v/>
      </c>
      <c r="K109" s="117" t="str">
        <f aca="false">IF(IFERROR(INDEX(tsk_Name,GanttView[[#This Row],[_Row]])="",TRUE()),"",INDEX(tsk_Status,GanttView[[#This Row],[_Row]]))</f>
        <v/>
      </c>
      <c r="L109" s="121" t="n">
        <f aca="false">ROW()-ROW(GanttView[[#Headers],[ID]])</f>
        <v>104</v>
      </c>
      <c r="M109" s="122" t="b">
        <f aca="false">IF(IFERROR(INDEX(tsk_Name,GanttView[[#This Row],[_Row]])="",TRUE()),FALSE(),INDEX(tsk_IsSummary,GanttView[[#This Row],[_Row]]))</f>
        <v>0</v>
      </c>
      <c r="N109" s="122" t="b">
        <f aca="false">IF(IFERROR(INDEX(tsk_Name,GanttView[[#This Row],[_Row]])="",TRUE()),FALSE(),AND(INDEX(tsk_IsLeaf,GanttView[[#This Row],[_Row]])=1,N(INDEX(tsk_Duration,GanttView[[#This Row],[_Row]]))=0))</f>
        <v>0</v>
      </c>
      <c r="O109" s="123" t="n">
        <f aca="false">IF(IFERROR(INDEX(tsk_Name,GanttView[[#This Row],[_Row]])="",TRUE()),0,IF(AND(INDEX(tsk_IsLeaf,GanttView[[#This Row],[_Row]])=1,NOT(GanttView[[#This Row],[_IsMilestone]]),N(GanttView[[#This Row],[%]])&gt;0),GanttView[[#This Row],[Forecast Start]],0))</f>
        <v>0</v>
      </c>
      <c r="P109" s="123" t="n">
        <f aca="false">IF(GanttView[[#This Row],[_DoneFrom]]=0,0,IF(GanttView[[#This Row],[%]]&gt;=1,GanttView[[#This Row],[Forecast Finish]],MAX(GanttView[[#This Row],[_DoneFrom]],GanttView[[#This Row],[Forecast Start]]+ROUND((GanttView[[#This Row],[Forecast Finish]]-GanttView[[#This Row],[Forecast Start]]+1)*GanttView[[#This Row],[%]],0)-1)))</f>
        <v>0</v>
      </c>
      <c r="Q109" s="123" t="n">
        <f aca="false">IF(IFERROR(INDEX(tsk_Name,GanttView[[#This Row],[_Row]])="",TRUE()),0,IF(OR(INDEX(tsk_IsLeaf,GanttView[[#This Row],[_Row]])&lt;&gt;1,GanttView[[#This Row],[_IsMilestone]],N(GanttView[[#This Row],[%]])&gt;=1),0,IF(GanttView[[#This Row],[_DoneTo]]&gt;0,GanttView[[#This Row],[_DoneTo]]+1,GanttView[[#This Row],[Forecast Start]])))</f>
        <v>0</v>
      </c>
      <c r="R109" s="123" t="n">
        <f aca="false">IF(GanttView[[#This Row],[_RemFrom]]=0,0,GanttView[[#This Row],[Forecast Finish]])</f>
        <v>0</v>
      </c>
      <c r="S109" s="122" t="b">
        <f aca="false">IF(IFERROR(INDEX(tsk_Name,GanttView[[#This Row],[_Row]])="",TRUE()),FALSE(),N(INDEX(tsk_Variance,GanttView[[#This Row],[_Row]]))&gt;0)</f>
        <v>0</v>
      </c>
      <c r="T109" s="123" t="n">
        <f aca="false">IF(IFERROR(INDEX(tsk_Name,GanttView[[#This Row],[_Row]])="",TRUE()),0,N(INDEX(tsk_Deadline,GanttView[[#This Row],[_Row]])))</f>
        <v>0</v>
      </c>
      <c r="U109" s="122"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Row],[_Row]])="",TRUE()),"",INDEX(tsk_ResourceNames,GanttView[[#This Row],[_Row]])&amp;"")</f>
        <v/>
      </c>
      <c r="K110" s="117" t="str">
        <f aca="false">IF(IFERROR(INDEX(tsk_Name,GanttView[[#This Row],[_Row]])="",TRUE()),"",INDEX(tsk_Status,GanttView[[#This Row],[_Row]]))</f>
        <v/>
      </c>
      <c r="L110" s="121" t="n">
        <f aca="false">ROW()-ROW(GanttView[[#Headers],[ID]])</f>
        <v>105</v>
      </c>
      <c r="M110" s="122" t="b">
        <f aca="false">IF(IFERROR(INDEX(tsk_Name,GanttView[[#This Row],[_Row]])="",TRUE()),FALSE(),INDEX(tsk_IsSummary,GanttView[[#This Row],[_Row]]))</f>
        <v>0</v>
      </c>
      <c r="N110" s="122" t="b">
        <f aca="false">IF(IFERROR(INDEX(tsk_Name,GanttView[[#This Row],[_Row]])="",TRUE()),FALSE(),AND(INDEX(tsk_IsLeaf,GanttView[[#This Row],[_Row]])=1,N(INDEX(tsk_Duration,GanttView[[#This Row],[_Row]]))=0))</f>
        <v>0</v>
      </c>
      <c r="O110" s="123" t="n">
        <f aca="false">IF(IFERROR(INDEX(tsk_Name,GanttView[[#This Row],[_Row]])="",TRUE()),0,IF(AND(INDEX(tsk_IsLeaf,GanttView[[#This Row],[_Row]])=1,NOT(GanttView[[#This Row],[_IsMilestone]]),N(GanttView[[#This Row],[%]])&gt;0),GanttView[[#This Row],[Forecast Start]],0))</f>
        <v>0</v>
      </c>
      <c r="P110" s="123" t="n">
        <f aca="false">IF(GanttView[[#This Row],[_DoneFrom]]=0,0,IF(GanttView[[#This Row],[%]]&gt;=1,GanttView[[#This Row],[Forecast Finish]],MAX(GanttView[[#This Row],[_DoneFrom]],GanttView[[#This Row],[Forecast Start]]+ROUND((GanttView[[#This Row],[Forecast Finish]]-GanttView[[#This Row],[Forecast Start]]+1)*GanttView[[#This Row],[%]],0)-1)))</f>
        <v>0</v>
      </c>
      <c r="Q110" s="123" t="n">
        <f aca="false">IF(IFERROR(INDEX(tsk_Name,GanttView[[#This Row],[_Row]])="",TRUE()),0,IF(OR(INDEX(tsk_IsLeaf,GanttView[[#This Row],[_Row]])&lt;&gt;1,GanttView[[#This Row],[_IsMilestone]],N(GanttView[[#This Row],[%]])&gt;=1),0,IF(GanttView[[#This Row],[_DoneTo]]&gt;0,GanttView[[#This Row],[_DoneTo]]+1,GanttView[[#This Row],[Forecast Start]])))</f>
        <v>0</v>
      </c>
      <c r="R110" s="123" t="n">
        <f aca="false">IF(GanttView[[#This Row],[_RemFrom]]=0,0,GanttView[[#This Row],[Forecast Finish]])</f>
        <v>0</v>
      </c>
      <c r="S110" s="122" t="b">
        <f aca="false">IF(IFERROR(INDEX(tsk_Name,GanttView[[#This Row],[_Row]])="",TRUE()),FALSE(),N(INDEX(tsk_Variance,GanttView[[#This Row],[_Row]]))&gt;0)</f>
        <v>0</v>
      </c>
      <c r="T110" s="123" t="n">
        <f aca="false">IF(IFERROR(INDEX(tsk_Name,GanttView[[#This Row],[_Row]])="",TRUE()),0,N(INDEX(tsk_Deadline,GanttView[[#This Row],[_Row]])))</f>
        <v>0</v>
      </c>
      <c r="U110" s="122"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Row],[_Row]])="",TRUE()),"",INDEX(tsk_ResourceNames,GanttView[[#This Row],[_Row]])&amp;"")</f>
        <v/>
      </c>
      <c r="K111" s="117" t="str">
        <f aca="false">IF(IFERROR(INDEX(tsk_Name,GanttView[[#This Row],[_Row]])="",TRUE()),"",INDEX(tsk_Status,GanttView[[#This Row],[_Row]]))</f>
        <v/>
      </c>
      <c r="L111" s="121" t="n">
        <f aca="false">ROW()-ROW(GanttView[[#Headers],[ID]])</f>
        <v>106</v>
      </c>
      <c r="M111" s="122" t="b">
        <f aca="false">IF(IFERROR(INDEX(tsk_Name,GanttView[[#This Row],[_Row]])="",TRUE()),FALSE(),INDEX(tsk_IsSummary,GanttView[[#This Row],[_Row]]))</f>
        <v>0</v>
      </c>
      <c r="N111" s="122" t="b">
        <f aca="false">IF(IFERROR(INDEX(tsk_Name,GanttView[[#This Row],[_Row]])="",TRUE()),FALSE(),AND(INDEX(tsk_IsLeaf,GanttView[[#This Row],[_Row]])=1,N(INDEX(tsk_Duration,GanttView[[#This Row],[_Row]]))=0))</f>
        <v>0</v>
      </c>
      <c r="O111" s="123" t="n">
        <f aca="false">IF(IFERROR(INDEX(tsk_Name,GanttView[[#This Row],[_Row]])="",TRUE()),0,IF(AND(INDEX(tsk_IsLeaf,GanttView[[#This Row],[_Row]])=1,NOT(GanttView[[#This Row],[_IsMilestone]]),N(GanttView[[#This Row],[%]])&gt;0),GanttView[[#This Row],[Forecast Start]],0))</f>
        <v>0</v>
      </c>
      <c r="P111" s="123" t="n">
        <f aca="false">IF(GanttView[[#This Row],[_DoneFrom]]=0,0,IF(GanttView[[#This Row],[%]]&gt;=1,GanttView[[#This Row],[Forecast Finish]],MAX(GanttView[[#This Row],[_DoneFrom]],GanttView[[#This Row],[Forecast Start]]+ROUND((GanttView[[#This Row],[Forecast Finish]]-GanttView[[#This Row],[Forecast Start]]+1)*GanttView[[#This Row],[%]],0)-1)))</f>
        <v>0</v>
      </c>
      <c r="Q111" s="123" t="n">
        <f aca="false">IF(IFERROR(INDEX(tsk_Name,GanttView[[#This Row],[_Row]])="",TRUE()),0,IF(OR(INDEX(tsk_IsLeaf,GanttView[[#This Row],[_Row]])&lt;&gt;1,GanttView[[#This Row],[_IsMilestone]],N(GanttView[[#This Row],[%]])&gt;=1),0,IF(GanttView[[#This Row],[_DoneTo]]&gt;0,GanttView[[#This Row],[_DoneTo]]+1,GanttView[[#This Row],[Forecast Start]])))</f>
        <v>0</v>
      </c>
      <c r="R111" s="123" t="n">
        <f aca="false">IF(GanttView[[#This Row],[_RemFrom]]=0,0,GanttView[[#This Row],[Forecast Finish]])</f>
        <v>0</v>
      </c>
      <c r="S111" s="122" t="b">
        <f aca="false">IF(IFERROR(INDEX(tsk_Name,GanttView[[#This Row],[_Row]])="",TRUE()),FALSE(),N(INDEX(tsk_Variance,GanttView[[#This Row],[_Row]]))&gt;0)</f>
        <v>0</v>
      </c>
      <c r="T111" s="123" t="n">
        <f aca="false">IF(IFERROR(INDEX(tsk_Name,GanttView[[#This Row],[_Row]])="",TRUE()),0,N(INDEX(tsk_Deadline,GanttView[[#This Row],[_Row]])))</f>
        <v>0</v>
      </c>
      <c r="U111" s="122"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Row],[_Row]])="",TRUE()),"",INDEX(tsk_ResourceNames,GanttView[[#This Row],[_Row]])&amp;"")</f>
        <v/>
      </c>
      <c r="K112" s="117" t="str">
        <f aca="false">IF(IFERROR(INDEX(tsk_Name,GanttView[[#This Row],[_Row]])="",TRUE()),"",INDEX(tsk_Status,GanttView[[#This Row],[_Row]]))</f>
        <v/>
      </c>
      <c r="L112" s="121" t="n">
        <f aca="false">ROW()-ROW(GanttView[[#Headers],[ID]])</f>
        <v>107</v>
      </c>
      <c r="M112" s="122" t="b">
        <f aca="false">IF(IFERROR(INDEX(tsk_Name,GanttView[[#This Row],[_Row]])="",TRUE()),FALSE(),INDEX(tsk_IsSummary,GanttView[[#This Row],[_Row]]))</f>
        <v>0</v>
      </c>
      <c r="N112" s="122" t="b">
        <f aca="false">IF(IFERROR(INDEX(tsk_Name,GanttView[[#This Row],[_Row]])="",TRUE()),FALSE(),AND(INDEX(tsk_IsLeaf,GanttView[[#This Row],[_Row]])=1,N(INDEX(tsk_Duration,GanttView[[#This Row],[_Row]]))=0))</f>
        <v>0</v>
      </c>
      <c r="O112" s="123" t="n">
        <f aca="false">IF(IFERROR(INDEX(tsk_Name,GanttView[[#This Row],[_Row]])="",TRUE()),0,IF(AND(INDEX(tsk_IsLeaf,GanttView[[#This Row],[_Row]])=1,NOT(GanttView[[#This Row],[_IsMilestone]]),N(GanttView[[#This Row],[%]])&gt;0),GanttView[[#This Row],[Forecast Start]],0))</f>
        <v>0</v>
      </c>
      <c r="P112" s="123" t="n">
        <f aca="false">IF(GanttView[[#This Row],[_DoneFrom]]=0,0,IF(GanttView[[#This Row],[%]]&gt;=1,GanttView[[#This Row],[Forecast Finish]],MAX(GanttView[[#This Row],[_DoneFrom]],GanttView[[#This Row],[Forecast Start]]+ROUND((GanttView[[#This Row],[Forecast Finish]]-GanttView[[#This Row],[Forecast Start]]+1)*GanttView[[#This Row],[%]],0)-1)))</f>
        <v>0</v>
      </c>
      <c r="Q112" s="123" t="n">
        <f aca="false">IF(IFERROR(INDEX(tsk_Name,GanttView[[#This Row],[_Row]])="",TRUE()),0,IF(OR(INDEX(tsk_IsLeaf,GanttView[[#This Row],[_Row]])&lt;&gt;1,GanttView[[#This Row],[_IsMilestone]],N(GanttView[[#This Row],[%]])&gt;=1),0,IF(GanttView[[#This Row],[_DoneTo]]&gt;0,GanttView[[#This Row],[_DoneTo]]+1,GanttView[[#This Row],[Forecast Start]])))</f>
        <v>0</v>
      </c>
      <c r="R112" s="123" t="n">
        <f aca="false">IF(GanttView[[#This Row],[_RemFrom]]=0,0,GanttView[[#This Row],[Forecast Finish]])</f>
        <v>0</v>
      </c>
      <c r="S112" s="122" t="b">
        <f aca="false">IF(IFERROR(INDEX(tsk_Name,GanttView[[#This Row],[_Row]])="",TRUE()),FALSE(),N(INDEX(tsk_Variance,GanttView[[#This Row],[_Row]]))&gt;0)</f>
        <v>0</v>
      </c>
      <c r="T112" s="123" t="n">
        <f aca="false">IF(IFERROR(INDEX(tsk_Name,GanttView[[#This Row],[_Row]])="",TRUE()),0,N(INDEX(tsk_Deadline,GanttView[[#This Row],[_Row]])))</f>
        <v>0</v>
      </c>
      <c r="U112" s="122"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Row],[_Row]])="",TRUE()),"",INDEX(tsk_ResourceNames,GanttView[[#This Row],[_Row]])&amp;"")</f>
        <v/>
      </c>
      <c r="K113" s="117" t="str">
        <f aca="false">IF(IFERROR(INDEX(tsk_Name,GanttView[[#This Row],[_Row]])="",TRUE()),"",INDEX(tsk_Status,GanttView[[#This Row],[_Row]]))</f>
        <v/>
      </c>
      <c r="L113" s="121" t="n">
        <f aca="false">ROW()-ROW(GanttView[[#Headers],[ID]])</f>
        <v>108</v>
      </c>
      <c r="M113" s="122" t="b">
        <f aca="false">IF(IFERROR(INDEX(tsk_Name,GanttView[[#This Row],[_Row]])="",TRUE()),FALSE(),INDEX(tsk_IsSummary,GanttView[[#This Row],[_Row]]))</f>
        <v>0</v>
      </c>
      <c r="N113" s="122" t="b">
        <f aca="false">IF(IFERROR(INDEX(tsk_Name,GanttView[[#This Row],[_Row]])="",TRUE()),FALSE(),AND(INDEX(tsk_IsLeaf,GanttView[[#This Row],[_Row]])=1,N(INDEX(tsk_Duration,GanttView[[#This Row],[_Row]]))=0))</f>
        <v>0</v>
      </c>
      <c r="O113" s="123" t="n">
        <f aca="false">IF(IFERROR(INDEX(tsk_Name,GanttView[[#This Row],[_Row]])="",TRUE()),0,IF(AND(INDEX(tsk_IsLeaf,GanttView[[#This Row],[_Row]])=1,NOT(GanttView[[#This Row],[_IsMilestone]]),N(GanttView[[#This Row],[%]])&gt;0),GanttView[[#This Row],[Forecast Start]],0))</f>
        <v>0</v>
      </c>
      <c r="P113" s="123" t="n">
        <f aca="false">IF(GanttView[[#This Row],[_DoneFrom]]=0,0,IF(GanttView[[#This Row],[%]]&gt;=1,GanttView[[#This Row],[Forecast Finish]],MAX(GanttView[[#This Row],[_DoneFrom]],GanttView[[#This Row],[Forecast Start]]+ROUND((GanttView[[#This Row],[Forecast Finish]]-GanttView[[#This Row],[Forecast Start]]+1)*GanttView[[#This Row],[%]],0)-1)))</f>
        <v>0</v>
      </c>
      <c r="Q113" s="123" t="n">
        <f aca="false">IF(IFERROR(INDEX(tsk_Name,GanttView[[#This Row],[_Row]])="",TRUE()),0,IF(OR(INDEX(tsk_IsLeaf,GanttView[[#This Row],[_Row]])&lt;&gt;1,GanttView[[#This Row],[_IsMilestone]],N(GanttView[[#This Row],[%]])&gt;=1),0,IF(GanttView[[#This Row],[_DoneTo]]&gt;0,GanttView[[#This Row],[_DoneTo]]+1,GanttView[[#This Row],[Forecast Start]])))</f>
        <v>0</v>
      </c>
      <c r="R113" s="123" t="n">
        <f aca="false">IF(GanttView[[#This Row],[_RemFrom]]=0,0,GanttView[[#This Row],[Forecast Finish]])</f>
        <v>0</v>
      </c>
      <c r="S113" s="122" t="b">
        <f aca="false">IF(IFERROR(INDEX(tsk_Name,GanttView[[#This Row],[_Row]])="",TRUE()),FALSE(),N(INDEX(tsk_Variance,GanttView[[#This Row],[_Row]]))&gt;0)</f>
        <v>0</v>
      </c>
      <c r="T113" s="123" t="n">
        <f aca="false">IF(IFERROR(INDEX(tsk_Name,GanttView[[#This Row],[_Row]])="",TRUE()),0,N(INDEX(tsk_Deadline,GanttView[[#This Row],[_Row]])))</f>
        <v>0</v>
      </c>
      <c r="U113" s="122"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Row],[_Row]])="",TRUE()),"",INDEX(tsk_ResourceNames,GanttView[[#This Row],[_Row]])&amp;"")</f>
        <v/>
      </c>
      <c r="K114" s="117" t="str">
        <f aca="false">IF(IFERROR(INDEX(tsk_Name,GanttView[[#This Row],[_Row]])="",TRUE()),"",INDEX(tsk_Status,GanttView[[#This Row],[_Row]]))</f>
        <v/>
      </c>
      <c r="L114" s="121" t="n">
        <f aca="false">ROW()-ROW(GanttView[[#Headers],[ID]])</f>
        <v>109</v>
      </c>
      <c r="M114" s="122" t="b">
        <f aca="false">IF(IFERROR(INDEX(tsk_Name,GanttView[[#This Row],[_Row]])="",TRUE()),FALSE(),INDEX(tsk_IsSummary,GanttView[[#This Row],[_Row]]))</f>
        <v>0</v>
      </c>
      <c r="N114" s="122" t="b">
        <f aca="false">IF(IFERROR(INDEX(tsk_Name,GanttView[[#This Row],[_Row]])="",TRUE()),FALSE(),AND(INDEX(tsk_IsLeaf,GanttView[[#This Row],[_Row]])=1,N(INDEX(tsk_Duration,GanttView[[#This Row],[_Row]]))=0))</f>
        <v>0</v>
      </c>
      <c r="O114" s="123" t="n">
        <f aca="false">IF(IFERROR(INDEX(tsk_Name,GanttView[[#This Row],[_Row]])="",TRUE()),0,IF(AND(INDEX(tsk_IsLeaf,GanttView[[#This Row],[_Row]])=1,NOT(GanttView[[#This Row],[_IsMilestone]]),N(GanttView[[#This Row],[%]])&gt;0),GanttView[[#This Row],[Forecast Start]],0))</f>
        <v>0</v>
      </c>
      <c r="P114" s="123" t="n">
        <f aca="false">IF(GanttView[[#This Row],[_DoneFrom]]=0,0,IF(GanttView[[#This Row],[%]]&gt;=1,GanttView[[#This Row],[Forecast Finish]],MAX(GanttView[[#This Row],[_DoneFrom]],GanttView[[#This Row],[Forecast Start]]+ROUND((GanttView[[#This Row],[Forecast Finish]]-GanttView[[#This Row],[Forecast Start]]+1)*GanttView[[#This Row],[%]],0)-1)))</f>
        <v>0</v>
      </c>
      <c r="Q114" s="123" t="n">
        <f aca="false">IF(IFERROR(INDEX(tsk_Name,GanttView[[#This Row],[_Row]])="",TRUE()),0,IF(OR(INDEX(tsk_IsLeaf,GanttView[[#This Row],[_Row]])&lt;&gt;1,GanttView[[#This Row],[_IsMilestone]],N(GanttView[[#This Row],[%]])&gt;=1),0,IF(GanttView[[#This Row],[_DoneTo]]&gt;0,GanttView[[#This Row],[_DoneTo]]+1,GanttView[[#This Row],[Forecast Start]])))</f>
        <v>0</v>
      </c>
      <c r="R114" s="123" t="n">
        <f aca="false">IF(GanttView[[#This Row],[_RemFrom]]=0,0,GanttView[[#This Row],[Forecast Finish]])</f>
        <v>0</v>
      </c>
      <c r="S114" s="122" t="b">
        <f aca="false">IF(IFERROR(INDEX(tsk_Name,GanttView[[#This Row],[_Row]])="",TRUE()),FALSE(),N(INDEX(tsk_Variance,GanttView[[#This Row],[_Row]]))&gt;0)</f>
        <v>0</v>
      </c>
      <c r="T114" s="123" t="n">
        <f aca="false">IF(IFERROR(INDEX(tsk_Name,GanttView[[#This Row],[_Row]])="",TRUE()),0,N(INDEX(tsk_Deadline,GanttView[[#This Row],[_Row]])))</f>
        <v>0</v>
      </c>
      <c r="U114" s="122"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Row],[_Row]])="",TRUE()),"",INDEX(tsk_ResourceNames,GanttView[[#This Row],[_Row]])&amp;"")</f>
        <v/>
      </c>
      <c r="K115" s="117" t="str">
        <f aca="false">IF(IFERROR(INDEX(tsk_Name,GanttView[[#This Row],[_Row]])="",TRUE()),"",INDEX(tsk_Status,GanttView[[#This Row],[_Row]]))</f>
        <v/>
      </c>
      <c r="L115" s="121" t="n">
        <f aca="false">ROW()-ROW(GanttView[[#Headers],[ID]])</f>
        <v>110</v>
      </c>
      <c r="M115" s="122" t="b">
        <f aca="false">IF(IFERROR(INDEX(tsk_Name,GanttView[[#This Row],[_Row]])="",TRUE()),FALSE(),INDEX(tsk_IsSummary,GanttView[[#This Row],[_Row]]))</f>
        <v>0</v>
      </c>
      <c r="N115" s="122" t="b">
        <f aca="false">IF(IFERROR(INDEX(tsk_Name,GanttView[[#This Row],[_Row]])="",TRUE()),FALSE(),AND(INDEX(tsk_IsLeaf,GanttView[[#This Row],[_Row]])=1,N(INDEX(tsk_Duration,GanttView[[#This Row],[_Row]]))=0))</f>
        <v>0</v>
      </c>
      <c r="O115" s="123" t="n">
        <f aca="false">IF(IFERROR(INDEX(tsk_Name,GanttView[[#This Row],[_Row]])="",TRUE()),0,IF(AND(INDEX(tsk_IsLeaf,GanttView[[#This Row],[_Row]])=1,NOT(GanttView[[#This Row],[_IsMilestone]]),N(GanttView[[#This Row],[%]])&gt;0),GanttView[[#This Row],[Forecast Start]],0))</f>
        <v>0</v>
      </c>
      <c r="P115" s="123" t="n">
        <f aca="false">IF(GanttView[[#This Row],[_DoneFrom]]=0,0,IF(GanttView[[#This Row],[%]]&gt;=1,GanttView[[#This Row],[Forecast Finish]],MAX(GanttView[[#This Row],[_DoneFrom]],GanttView[[#This Row],[Forecast Start]]+ROUND((GanttView[[#This Row],[Forecast Finish]]-GanttView[[#This Row],[Forecast Start]]+1)*GanttView[[#This Row],[%]],0)-1)))</f>
        <v>0</v>
      </c>
      <c r="Q115" s="123" t="n">
        <f aca="false">IF(IFERROR(INDEX(tsk_Name,GanttView[[#This Row],[_Row]])="",TRUE()),0,IF(OR(INDEX(tsk_IsLeaf,GanttView[[#This Row],[_Row]])&lt;&gt;1,GanttView[[#This Row],[_IsMilestone]],N(GanttView[[#This Row],[%]])&gt;=1),0,IF(GanttView[[#This Row],[_DoneTo]]&gt;0,GanttView[[#This Row],[_DoneTo]]+1,GanttView[[#This Row],[Forecast Start]])))</f>
        <v>0</v>
      </c>
      <c r="R115" s="123" t="n">
        <f aca="false">IF(GanttView[[#This Row],[_RemFrom]]=0,0,GanttView[[#This Row],[Forecast Finish]])</f>
        <v>0</v>
      </c>
      <c r="S115" s="122" t="b">
        <f aca="false">IF(IFERROR(INDEX(tsk_Name,GanttView[[#This Row],[_Row]])="",TRUE()),FALSE(),N(INDEX(tsk_Variance,GanttView[[#This Row],[_Row]]))&gt;0)</f>
        <v>0</v>
      </c>
      <c r="T115" s="123" t="n">
        <f aca="false">IF(IFERROR(INDEX(tsk_Name,GanttView[[#This Row],[_Row]])="",TRUE()),0,N(INDEX(tsk_Deadline,GanttView[[#This Row],[_Row]])))</f>
        <v>0</v>
      </c>
      <c r="U115" s="122"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Row],[_Row]])="",TRUE()),"",INDEX(tsk_ResourceNames,GanttView[[#This Row],[_Row]])&amp;"")</f>
        <v/>
      </c>
      <c r="K116" s="117" t="str">
        <f aca="false">IF(IFERROR(INDEX(tsk_Name,GanttView[[#This Row],[_Row]])="",TRUE()),"",INDEX(tsk_Status,GanttView[[#This Row],[_Row]]))</f>
        <v/>
      </c>
      <c r="L116" s="121" t="n">
        <f aca="false">ROW()-ROW(GanttView[[#Headers],[ID]])</f>
        <v>111</v>
      </c>
      <c r="M116" s="122" t="b">
        <f aca="false">IF(IFERROR(INDEX(tsk_Name,GanttView[[#This Row],[_Row]])="",TRUE()),FALSE(),INDEX(tsk_IsSummary,GanttView[[#This Row],[_Row]]))</f>
        <v>0</v>
      </c>
      <c r="N116" s="122" t="b">
        <f aca="false">IF(IFERROR(INDEX(tsk_Name,GanttView[[#This Row],[_Row]])="",TRUE()),FALSE(),AND(INDEX(tsk_IsLeaf,GanttView[[#This Row],[_Row]])=1,N(INDEX(tsk_Duration,GanttView[[#This Row],[_Row]]))=0))</f>
        <v>0</v>
      </c>
      <c r="O116" s="123" t="n">
        <f aca="false">IF(IFERROR(INDEX(tsk_Name,GanttView[[#This Row],[_Row]])="",TRUE()),0,IF(AND(INDEX(tsk_IsLeaf,GanttView[[#This Row],[_Row]])=1,NOT(GanttView[[#This Row],[_IsMilestone]]),N(GanttView[[#This Row],[%]])&gt;0),GanttView[[#This Row],[Forecast Start]],0))</f>
        <v>0</v>
      </c>
      <c r="P116" s="123" t="n">
        <f aca="false">IF(GanttView[[#This Row],[_DoneFrom]]=0,0,IF(GanttView[[#This Row],[%]]&gt;=1,GanttView[[#This Row],[Forecast Finish]],MAX(GanttView[[#This Row],[_DoneFrom]],GanttView[[#This Row],[Forecast Start]]+ROUND((GanttView[[#This Row],[Forecast Finish]]-GanttView[[#This Row],[Forecast Start]]+1)*GanttView[[#This Row],[%]],0)-1)))</f>
        <v>0</v>
      </c>
      <c r="Q116" s="123" t="n">
        <f aca="false">IF(IFERROR(INDEX(tsk_Name,GanttView[[#This Row],[_Row]])="",TRUE()),0,IF(OR(INDEX(tsk_IsLeaf,GanttView[[#This Row],[_Row]])&lt;&gt;1,GanttView[[#This Row],[_IsMilestone]],N(GanttView[[#This Row],[%]])&gt;=1),0,IF(GanttView[[#This Row],[_DoneTo]]&gt;0,GanttView[[#This Row],[_DoneTo]]+1,GanttView[[#This Row],[Forecast Start]])))</f>
        <v>0</v>
      </c>
      <c r="R116" s="123" t="n">
        <f aca="false">IF(GanttView[[#This Row],[_RemFrom]]=0,0,GanttView[[#This Row],[Forecast Finish]])</f>
        <v>0</v>
      </c>
      <c r="S116" s="122" t="b">
        <f aca="false">IF(IFERROR(INDEX(tsk_Name,GanttView[[#This Row],[_Row]])="",TRUE()),FALSE(),N(INDEX(tsk_Variance,GanttView[[#This Row],[_Row]]))&gt;0)</f>
        <v>0</v>
      </c>
      <c r="T116" s="123" t="n">
        <f aca="false">IF(IFERROR(INDEX(tsk_Name,GanttView[[#This Row],[_Row]])="",TRUE()),0,N(INDEX(tsk_Deadline,GanttView[[#This Row],[_Row]])))</f>
        <v>0</v>
      </c>
      <c r="U116" s="122"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Row],[_Row]])="",TRUE()),"",INDEX(tsk_ResourceNames,GanttView[[#This Row],[_Row]])&amp;"")</f>
        <v/>
      </c>
      <c r="K117" s="117" t="str">
        <f aca="false">IF(IFERROR(INDEX(tsk_Name,GanttView[[#This Row],[_Row]])="",TRUE()),"",INDEX(tsk_Status,GanttView[[#This Row],[_Row]]))</f>
        <v/>
      </c>
      <c r="L117" s="121" t="n">
        <f aca="false">ROW()-ROW(GanttView[[#Headers],[ID]])</f>
        <v>112</v>
      </c>
      <c r="M117" s="122" t="b">
        <f aca="false">IF(IFERROR(INDEX(tsk_Name,GanttView[[#This Row],[_Row]])="",TRUE()),FALSE(),INDEX(tsk_IsSummary,GanttView[[#This Row],[_Row]]))</f>
        <v>0</v>
      </c>
      <c r="N117" s="122" t="b">
        <f aca="false">IF(IFERROR(INDEX(tsk_Name,GanttView[[#This Row],[_Row]])="",TRUE()),FALSE(),AND(INDEX(tsk_IsLeaf,GanttView[[#This Row],[_Row]])=1,N(INDEX(tsk_Duration,GanttView[[#This Row],[_Row]]))=0))</f>
        <v>0</v>
      </c>
      <c r="O117" s="123" t="n">
        <f aca="false">IF(IFERROR(INDEX(tsk_Name,GanttView[[#This Row],[_Row]])="",TRUE()),0,IF(AND(INDEX(tsk_IsLeaf,GanttView[[#This Row],[_Row]])=1,NOT(GanttView[[#This Row],[_IsMilestone]]),N(GanttView[[#This Row],[%]])&gt;0),GanttView[[#This Row],[Forecast Start]],0))</f>
        <v>0</v>
      </c>
      <c r="P117" s="123" t="n">
        <f aca="false">IF(GanttView[[#This Row],[_DoneFrom]]=0,0,IF(GanttView[[#This Row],[%]]&gt;=1,GanttView[[#This Row],[Forecast Finish]],MAX(GanttView[[#This Row],[_DoneFrom]],GanttView[[#This Row],[Forecast Start]]+ROUND((GanttView[[#This Row],[Forecast Finish]]-GanttView[[#This Row],[Forecast Start]]+1)*GanttView[[#This Row],[%]],0)-1)))</f>
        <v>0</v>
      </c>
      <c r="Q117" s="123" t="n">
        <f aca="false">IF(IFERROR(INDEX(tsk_Name,GanttView[[#This Row],[_Row]])="",TRUE()),0,IF(OR(INDEX(tsk_IsLeaf,GanttView[[#This Row],[_Row]])&lt;&gt;1,GanttView[[#This Row],[_IsMilestone]],N(GanttView[[#This Row],[%]])&gt;=1),0,IF(GanttView[[#This Row],[_DoneTo]]&gt;0,GanttView[[#This Row],[_DoneTo]]+1,GanttView[[#This Row],[Forecast Start]])))</f>
        <v>0</v>
      </c>
      <c r="R117" s="123" t="n">
        <f aca="false">IF(GanttView[[#This Row],[_RemFrom]]=0,0,GanttView[[#This Row],[Forecast Finish]])</f>
        <v>0</v>
      </c>
      <c r="S117" s="122" t="b">
        <f aca="false">IF(IFERROR(INDEX(tsk_Name,GanttView[[#This Row],[_Row]])="",TRUE()),FALSE(),N(INDEX(tsk_Variance,GanttView[[#This Row],[_Row]]))&gt;0)</f>
        <v>0</v>
      </c>
      <c r="T117" s="123" t="n">
        <f aca="false">IF(IFERROR(INDEX(tsk_Name,GanttView[[#This Row],[_Row]])="",TRUE()),0,N(INDEX(tsk_Deadline,GanttView[[#This Row],[_Row]])))</f>
        <v>0</v>
      </c>
      <c r="U117" s="122"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Row],[_Row]])="",TRUE()),"",INDEX(tsk_ResourceNames,GanttView[[#This Row],[_Row]])&amp;"")</f>
        <v/>
      </c>
      <c r="K118" s="117" t="str">
        <f aca="false">IF(IFERROR(INDEX(tsk_Name,GanttView[[#This Row],[_Row]])="",TRUE()),"",INDEX(tsk_Status,GanttView[[#This Row],[_Row]]))</f>
        <v/>
      </c>
      <c r="L118" s="121" t="n">
        <f aca="false">ROW()-ROW(GanttView[[#Headers],[ID]])</f>
        <v>113</v>
      </c>
      <c r="M118" s="122" t="b">
        <f aca="false">IF(IFERROR(INDEX(tsk_Name,GanttView[[#This Row],[_Row]])="",TRUE()),FALSE(),INDEX(tsk_IsSummary,GanttView[[#This Row],[_Row]]))</f>
        <v>0</v>
      </c>
      <c r="N118" s="122" t="b">
        <f aca="false">IF(IFERROR(INDEX(tsk_Name,GanttView[[#This Row],[_Row]])="",TRUE()),FALSE(),AND(INDEX(tsk_IsLeaf,GanttView[[#This Row],[_Row]])=1,N(INDEX(tsk_Duration,GanttView[[#This Row],[_Row]]))=0))</f>
        <v>0</v>
      </c>
      <c r="O118" s="123" t="n">
        <f aca="false">IF(IFERROR(INDEX(tsk_Name,GanttView[[#This Row],[_Row]])="",TRUE()),0,IF(AND(INDEX(tsk_IsLeaf,GanttView[[#This Row],[_Row]])=1,NOT(GanttView[[#This Row],[_IsMilestone]]),N(GanttView[[#This Row],[%]])&gt;0),GanttView[[#This Row],[Forecast Start]],0))</f>
        <v>0</v>
      </c>
      <c r="P118" s="123" t="n">
        <f aca="false">IF(GanttView[[#This Row],[_DoneFrom]]=0,0,IF(GanttView[[#This Row],[%]]&gt;=1,GanttView[[#This Row],[Forecast Finish]],MAX(GanttView[[#This Row],[_DoneFrom]],GanttView[[#This Row],[Forecast Start]]+ROUND((GanttView[[#This Row],[Forecast Finish]]-GanttView[[#This Row],[Forecast Start]]+1)*GanttView[[#This Row],[%]],0)-1)))</f>
        <v>0</v>
      </c>
      <c r="Q118" s="123" t="n">
        <f aca="false">IF(IFERROR(INDEX(tsk_Name,GanttView[[#This Row],[_Row]])="",TRUE()),0,IF(OR(INDEX(tsk_IsLeaf,GanttView[[#This Row],[_Row]])&lt;&gt;1,GanttView[[#This Row],[_IsMilestone]],N(GanttView[[#This Row],[%]])&gt;=1),0,IF(GanttView[[#This Row],[_DoneTo]]&gt;0,GanttView[[#This Row],[_DoneTo]]+1,GanttView[[#This Row],[Forecast Start]])))</f>
        <v>0</v>
      </c>
      <c r="R118" s="123" t="n">
        <f aca="false">IF(GanttView[[#This Row],[_RemFrom]]=0,0,GanttView[[#This Row],[Forecast Finish]])</f>
        <v>0</v>
      </c>
      <c r="S118" s="122" t="b">
        <f aca="false">IF(IFERROR(INDEX(tsk_Name,GanttView[[#This Row],[_Row]])="",TRUE()),FALSE(),N(INDEX(tsk_Variance,GanttView[[#This Row],[_Row]]))&gt;0)</f>
        <v>0</v>
      </c>
      <c r="T118" s="123" t="n">
        <f aca="false">IF(IFERROR(INDEX(tsk_Name,GanttView[[#This Row],[_Row]])="",TRUE()),0,N(INDEX(tsk_Deadline,GanttView[[#This Row],[_Row]])))</f>
        <v>0</v>
      </c>
      <c r="U118" s="122"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Row],[_Row]])="",TRUE()),"",INDEX(tsk_ResourceNames,GanttView[[#This Row],[_Row]])&amp;"")</f>
        <v/>
      </c>
      <c r="K119" s="117" t="str">
        <f aca="false">IF(IFERROR(INDEX(tsk_Name,GanttView[[#This Row],[_Row]])="",TRUE()),"",INDEX(tsk_Status,GanttView[[#This Row],[_Row]]))</f>
        <v/>
      </c>
      <c r="L119" s="121" t="n">
        <f aca="false">ROW()-ROW(GanttView[[#Headers],[ID]])</f>
        <v>114</v>
      </c>
      <c r="M119" s="122" t="b">
        <f aca="false">IF(IFERROR(INDEX(tsk_Name,GanttView[[#This Row],[_Row]])="",TRUE()),FALSE(),INDEX(tsk_IsSummary,GanttView[[#This Row],[_Row]]))</f>
        <v>0</v>
      </c>
      <c r="N119" s="122" t="b">
        <f aca="false">IF(IFERROR(INDEX(tsk_Name,GanttView[[#This Row],[_Row]])="",TRUE()),FALSE(),AND(INDEX(tsk_IsLeaf,GanttView[[#This Row],[_Row]])=1,N(INDEX(tsk_Duration,GanttView[[#This Row],[_Row]]))=0))</f>
        <v>0</v>
      </c>
      <c r="O119" s="123" t="n">
        <f aca="false">IF(IFERROR(INDEX(tsk_Name,GanttView[[#This Row],[_Row]])="",TRUE()),0,IF(AND(INDEX(tsk_IsLeaf,GanttView[[#This Row],[_Row]])=1,NOT(GanttView[[#This Row],[_IsMilestone]]),N(GanttView[[#This Row],[%]])&gt;0),GanttView[[#This Row],[Forecast Start]],0))</f>
        <v>0</v>
      </c>
      <c r="P119" s="123" t="n">
        <f aca="false">IF(GanttView[[#This Row],[_DoneFrom]]=0,0,IF(GanttView[[#This Row],[%]]&gt;=1,GanttView[[#This Row],[Forecast Finish]],MAX(GanttView[[#This Row],[_DoneFrom]],GanttView[[#This Row],[Forecast Start]]+ROUND((GanttView[[#This Row],[Forecast Finish]]-GanttView[[#This Row],[Forecast Start]]+1)*GanttView[[#This Row],[%]],0)-1)))</f>
        <v>0</v>
      </c>
      <c r="Q119" s="123" t="n">
        <f aca="false">IF(IFERROR(INDEX(tsk_Name,GanttView[[#This Row],[_Row]])="",TRUE()),0,IF(OR(INDEX(tsk_IsLeaf,GanttView[[#This Row],[_Row]])&lt;&gt;1,GanttView[[#This Row],[_IsMilestone]],N(GanttView[[#This Row],[%]])&gt;=1),0,IF(GanttView[[#This Row],[_DoneTo]]&gt;0,GanttView[[#This Row],[_DoneTo]]+1,GanttView[[#This Row],[Forecast Start]])))</f>
        <v>0</v>
      </c>
      <c r="R119" s="123" t="n">
        <f aca="false">IF(GanttView[[#This Row],[_RemFrom]]=0,0,GanttView[[#This Row],[Forecast Finish]])</f>
        <v>0</v>
      </c>
      <c r="S119" s="122" t="b">
        <f aca="false">IF(IFERROR(INDEX(tsk_Name,GanttView[[#This Row],[_Row]])="",TRUE()),FALSE(),N(INDEX(tsk_Variance,GanttView[[#This Row],[_Row]]))&gt;0)</f>
        <v>0</v>
      </c>
      <c r="T119" s="123" t="n">
        <f aca="false">IF(IFERROR(INDEX(tsk_Name,GanttView[[#This Row],[_Row]])="",TRUE()),0,N(INDEX(tsk_Deadline,GanttView[[#This Row],[_Row]])))</f>
        <v>0</v>
      </c>
      <c r="U119" s="122"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Row],[_Row]])="",TRUE()),"",INDEX(tsk_ResourceNames,GanttView[[#This Row],[_Row]])&amp;"")</f>
        <v/>
      </c>
      <c r="K120" s="117" t="str">
        <f aca="false">IF(IFERROR(INDEX(tsk_Name,GanttView[[#This Row],[_Row]])="",TRUE()),"",INDEX(tsk_Status,GanttView[[#This Row],[_Row]]))</f>
        <v/>
      </c>
      <c r="L120" s="121" t="n">
        <f aca="false">ROW()-ROW(GanttView[[#Headers],[ID]])</f>
        <v>115</v>
      </c>
      <c r="M120" s="122" t="b">
        <f aca="false">IF(IFERROR(INDEX(tsk_Name,GanttView[[#This Row],[_Row]])="",TRUE()),FALSE(),INDEX(tsk_IsSummary,GanttView[[#This Row],[_Row]]))</f>
        <v>0</v>
      </c>
      <c r="N120" s="122" t="b">
        <f aca="false">IF(IFERROR(INDEX(tsk_Name,GanttView[[#This Row],[_Row]])="",TRUE()),FALSE(),AND(INDEX(tsk_IsLeaf,GanttView[[#This Row],[_Row]])=1,N(INDEX(tsk_Duration,GanttView[[#This Row],[_Row]]))=0))</f>
        <v>0</v>
      </c>
      <c r="O120" s="123" t="n">
        <f aca="false">IF(IFERROR(INDEX(tsk_Name,GanttView[[#This Row],[_Row]])="",TRUE()),0,IF(AND(INDEX(tsk_IsLeaf,GanttView[[#This Row],[_Row]])=1,NOT(GanttView[[#This Row],[_IsMilestone]]),N(GanttView[[#This Row],[%]])&gt;0),GanttView[[#This Row],[Forecast Start]],0))</f>
        <v>0</v>
      </c>
      <c r="P120" s="123" t="n">
        <f aca="false">IF(GanttView[[#This Row],[_DoneFrom]]=0,0,IF(GanttView[[#This Row],[%]]&gt;=1,GanttView[[#This Row],[Forecast Finish]],MAX(GanttView[[#This Row],[_DoneFrom]],GanttView[[#This Row],[Forecast Start]]+ROUND((GanttView[[#This Row],[Forecast Finish]]-GanttView[[#This Row],[Forecast Start]]+1)*GanttView[[#This Row],[%]],0)-1)))</f>
        <v>0</v>
      </c>
      <c r="Q120" s="123" t="n">
        <f aca="false">IF(IFERROR(INDEX(tsk_Name,GanttView[[#This Row],[_Row]])="",TRUE()),0,IF(OR(INDEX(tsk_IsLeaf,GanttView[[#This Row],[_Row]])&lt;&gt;1,GanttView[[#This Row],[_IsMilestone]],N(GanttView[[#This Row],[%]])&gt;=1),0,IF(GanttView[[#This Row],[_DoneTo]]&gt;0,GanttView[[#This Row],[_DoneTo]]+1,GanttView[[#This Row],[Forecast Start]])))</f>
        <v>0</v>
      </c>
      <c r="R120" s="123" t="n">
        <f aca="false">IF(GanttView[[#This Row],[_RemFrom]]=0,0,GanttView[[#This Row],[Forecast Finish]])</f>
        <v>0</v>
      </c>
      <c r="S120" s="122" t="b">
        <f aca="false">IF(IFERROR(INDEX(tsk_Name,GanttView[[#This Row],[_Row]])="",TRUE()),FALSE(),N(INDEX(tsk_Variance,GanttView[[#This Row],[_Row]]))&gt;0)</f>
        <v>0</v>
      </c>
      <c r="T120" s="123" t="n">
        <f aca="false">IF(IFERROR(INDEX(tsk_Name,GanttView[[#This Row],[_Row]])="",TRUE()),0,N(INDEX(tsk_Deadline,GanttView[[#This Row],[_Row]])))</f>
        <v>0</v>
      </c>
      <c r="U120" s="122"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Row],[_Row]])="",TRUE()),"",INDEX(tsk_ResourceNames,GanttView[[#This Row],[_Row]])&amp;"")</f>
        <v/>
      </c>
      <c r="K121" s="117" t="str">
        <f aca="false">IF(IFERROR(INDEX(tsk_Name,GanttView[[#This Row],[_Row]])="",TRUE()),"",INDEX(tsk_Status,GanttView[[#This Row],[_Row]]))</f>
        <v/>
      </c>
      <c r="L121" s="121" t="n">
        <f aca="false">ROW()-ROW(GanttView[[#Headers],[ID]])</f>
        <v>116</v>
      </c>
      <c r="M121" s="122" t="b">
        <f aca="false">IF(IFERROR(INDEX(tsk_Name,GanttView[[#This Row],[_Row]])="",TRUE()),FALSE(),INDEX(tsk_IsSummary,GanttView[[#This Row],[_Row]]))</f>
        <v>0</v>
      </c>
      <c r="N121" s="122" t="b">
        <f aca="false">IF(IFERROR(INDEX(tsk_Name,GanttView[[#This Row],[_Row]])="",TRUE()),FALSE(),AND(INDEX(tsk_IsLeaf,GanttView[[#This Row],[_Row]])=1,N(INDEX(tsk_Duration,GanttView[[#This Row],[_Row]]))=0))</f>
        <v>0</v>
      </c>
      <c r="O121" s="123" t="n">
        <f aca="false">IF(IFERROR(INDEX(tsk_Name,GanttView[[#This Row],[_Row]])="",TRUE()),0,IF(AND(INDEX(tsk_IsLeaf,GanttView[[#This Row],[_Row]])=1,NOT(GanttView[[#This Row],[_IsMilestone]]),N(GanttView[[#This Row],[%]])&gt;0),GanttView[[#This Row],[Forecast Start]],0))</f>
        <v>0</v>
      </c>
      <c r="P121" s="123" t="n">
        <f aca="false">IF(GanttView[[#This Row],[_DoneFrom]]=0,0,IF(GanttView[[#This Row],[%]]&gt;=1,GanttView[[#This Row],[Forecast Finish]],MAX(GanttView[[#This Row],[_DoneFrom]],GanttView[[#This Row],[Forecast Start]]+ROUND((GanttView[[#This Row],[Forecast Finish]]-GanttView[[#This Row],[Forecast Start]]+1)*GanttView[[#This Row],[%]],0)-1)))</f>
        <v>0</v>
      </c>
      <c r="Q121" s="123" t="n">
        <f aca="false">IF(IFERROR(INDEX(tsk_Name,GanttView[[#This Row],[_Row]])="",TRUE()),0,IF(OR(INDEX(tsk_IsLeaf,GanttView[[#This Row],[_Row]])&lt;&gt;1,GanttView[[#This Row],[_IsMilestone]],N(GanttView[[#This Row],[%]])&gt;=1),0,IF(GanttView[[#This Row],[_DoneTo]]&gt;0,GanttView[[#This Row],[_DoneTo]]+1,GanttView[[#This Row],[Forecast Start]])))</f>
        <v>0</v>
      </c>
      <c r="R121" s="123" t="n">
        <f aca="false">IF(GanttView[[#This Row],[_RemFrom]]=0,0,GanttView[[#This Row],[Forecast Finish]])</f>
        <v>0</v>
      </c>
      <c r="S121" s="122" t="b">
        <f aca="false">IF(IFERROR(INDEX(tsk_Name,GanttView[[#This Row],[_Row]])="",TRUE()),FALSE(),N(INDEX(tsk_Variance,GanttView[[#This Row],[_Row]]))&gt;0)</f>
        <v>0</v>
      </c>
      <c r="T121" s="123" t="n">
        <f aca="false">IF(IFERROR(INDEX(tsk_Name,GanttView[[#This Row],[_Row]])="",TRUE()),0,N(INDEX(tsk_Deadline,GanttView[[#This Row],[_Row]])))</f>
        <v>0</v>
      </c>
      <c r="U121" s="122"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Row],[_Row]])="",TRUE()),"",INDEX(tsk_ResourceNames,GanttView[[#This Row],[_Row]])&amp;"")</f>
        <v/>
      </c>
      <c r="K122" s="117" t="str">
        <f aca="false">IF(IFERROR(INDEX(tsk_Name,GanttView[[#This Row],[_Row]])="",TRUE()),"",INDEX(tsk_Status,GanttView[[#This Row],[_Row]]))</f>
        <v/>
      </c>
      <c r="L122" s="121" t="n">
        <f aca="false">ROW()-ROW(GanttView[[#Headers],[ID]])</f>
        <v>117</v>
      </c>
      <c r="M122" s="122" t="b">
        <f aca="false">IF(IFERROR(INDEX(tsk_Name,GanttView[[#This Row],[_Row]])="",TRUE()),FALSE(),INDEX(tsk_IsSummary,GanttView[[#This Row],[_Row]]))</f>
        <v>0</v>
      </c>
      <c r="N122" s="122" t="b">
        <f aca="false">IF(IFERROR(INDEX(tsk_Name,GanttView[[#This Row],[_Row]])="",TRUE()),FALSE(),AND(INDEX(tsk_IsLeaf,GanttView[[#This Row],[_Row]])=1,N(INDEX(tsk_Duration,GanttView[[#This Row],[_Row]]))=0))</f>
        <v>0</v>
      </c>
      <c r="O122" s="123" t="n">
        <f aca="false">IF(IFERROR(INDEX(tsk_Name,GanttView[[#This Row],[_Row]])="",TRUE()),0,IF(AND(INDEX(tsk_IsLeaf,GanttView[[#This Row],[_Row]])=1,NOT(GanttView[[#This Row],[_IsMilestone]]),N(GanttView[[#This Row],[%]])&gt;0),GanttView[[#This Row],[Forecast Start]],0))</f>
        <v>0</v>
      </c>
      <c r="P122" s="123" t="n">
        <f aca="false">IF(GanttView[[#This Row],[_DoneFrom]]=0,0,IF(GanttView[[#This Row],[%]]&gt;=1,GanttView[[#This Row],[Forecast Finish]],MAX(GanttView[[#This Row],[_DoneFrom]],GanttView[[#This Row],[Forecast Start]]+ROUND((GanttView[[#This Row],[Forecast Finish]]-GanttView[[#This Row],[Forecast Start]]+1)*GanttView[[#This Row],[%]],0)-1)))</f>
        <v>0</v>
      </c>
      <c r="Q122" s="123" t="n">
        <f aca="false">IF(IFERROR(INDEX(tsk_Name,GanttView[[#This Row],[_Row]])="",TRUE()),0,IF(OR(INDEX(tsk_IsLeaf,GanttView[[#This Row],[_Row]])&lt;&gt;1,GanttView[[#This Row],[_IsMilestone]],N(GanttView[[#This Row],[%]])&gt;=1),0,IF(GanttView[[#This Row],[_DoneTo]]&gt;0,GanttView[[#This Row],[_DoneTo]]+1,GanttView[[#This Row],[Forecast Start]])))</f>
        <v>0</v>
      </c>
      <c r="R122" s="123" t="n">
        <f aca="false">IF(GanttView[[#This Row],[_RemFrom]]=0,0,GanttView[[#This Row],[Forecast Finish]])</f>
        <v>0</v>
      </c>
      <c r="S122" s="122" t="b">
        <f aca="false">IF(IFERROR(INDEX(tsk_Name,GanttView[[#This Row],[_Row]])="",TRUE()),FALSE(),N(INDEX(tsk_Variance,GanttView[[#This Row],[_Row]]))&gt;0)</f>
        <v>0</v>
      </c>
      <c r="T122" s="123" t="n">
        <f aca="false">IF(IFERROR(INDEX(tsk_Name,GanttView[[#This Row],[_Row]])="",TRUE()),0,N(INDEX(tsk_Deadline,GanttView[[#This Row],[_Row]])))</f>
        <v>0</v>
      </c>
      <c r="U122" s="122"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Row],[_Row]])="",TRUE()),"",INDEX(tsk_ResourceNames,GanttView[[#This Row],[_Row]])&amp;"")</f>
        <v/>
      </c>
      <c r="K123" s="117" t="str">
        <f aca="false">IF(IFERROR(INDEX(tsk_Name,GanttView[[#This Row],[_Row]])="",TRUE()),"",INDEX(tsk_Status,GanttView[[#This Row],[_Row]]))</f>
        <v/>
      </c>
      <c r="L123" s="121" t="n">
        <f aca="false">ROW()-ROW(GanttView[[#Headers],[ID]])</f>
        <v>118</v>
      </c>
      <c r="M123" s="122" t="b">
        <f aca="false">IF(IFERROR(INDEX(tsk_Name,GanttView[[#This Row],[_Row]])="",TRUE()),FALSE(),INDEX(tsk_IsSummary,GanttView[[#This Row],[_Row]]))</f>
        <v>0</v>
      </c>
      <c r="N123" s="122" t="b">
        <f aca="false">IF(IFERROR(INDEX(tsk_Name,GanttView[[#This Row],[_Row]])="",TRUE()),FALSE(),AND(INDEX(tsk_IsLeaf,GanttView[[#This Row],[_Row]])=1,N(INDEX(tsk_Duration,GanttView[[#This Row],[_Row]]))=0))</f>
        <v>0</v>
      </c>
      <c r="O123" s="123" t="n">
        <f aca="false">IF(IFERROR(INDEX(tsk_Name,GanttView[[#This Row],[_Row]])="",TRUE()),0,IF(AND(INDEX(tsk_IsLeaf,GanttView[[#This Row],[_Row]])=1,NOT(GanttView[[#This Row],[_IsMilestone]]),N(GanttView[[#This Row],[%]])&gt;0),GanttView[[#This Row],[Forecast Start]],0))</f>
        <v>0</v>
      </c>
      <c r="P123" s="123" t="n">
        <f aca="false">IF(GanttView[[#This Row],[_DoneFrom]]=0,0,IF(GanttView[[#This Row],[%]]&gt;=1,GanttView[[#This Row],[Forecast Finish]],MAX(GanttView[[#This Row],[_DoneFrom]],GanttView[[#This Row],[Forecast Start]]+ROUND((GanttView[[#This Row],[Forecast Finish]]-GanttView[[#This Row],[Forecast Start]]+1)*GanttView[[#This Row],[%]],0)-1)))</f>
        <v>0</v>
      </c>
      <c r="Q123" s="123" t="n">
        <f aca="false">IF(IFERROR(INDEX(tsk_Name,GanttView[[#This Row],[_Row]])="",TRUE()),0,IF(OR(INDEX(tsk_IsLeaf,GanttView[[#This Row],[_Row]])&lt;&gt;1,GanttView[[#This Row],[_IsMilestone]],N(GanttView[[#This Row],[%]])&gt;=1),0,IF(GanttView[[#This Row],[_DoneTo]]&gt;0,GanttView[[#This Row],[_DoneTo]]+1,GanttView[[#This Row],[Forecast Start]])))</f>
        <v>0</v>
      </c>
      <c r="R123" s="123" t="n">
        <f aca="false">IF(GanttView[[#This Row],[_RemFrom]]=0,0,GanttView[[#This Row],[Forecast Finish]])</f>
        <v>0</v>
      </c>
      <c r="S123" s="122" t="b">
        <f aca="false">IF(IFERROR(INDEX(tsk_Name,GanttView[[#This Row],[_Row]])="",TRUE()),FALSE(),N(INDEX(tsk_Variance,GanttView[[#This Row],[_Row]]))&gt;0)</f>
        <v>0</v>
      </c>
      <c r="T123" s="123" t="n">
        <f aca="false">IF(IFERROR(INDEX(tsk_Name,GanttView[[#This Row],[_Row]])="",TRUE()),0,N(INDEX(tsk_Deadline,GanttView[[#This Row],[_Row]])))</f>
        <v>0</v>
      </c>
      <c r="U123" s="122"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Row],[_Row]])="",TRUE()),"",INDEX(tsk_ResourceNames,GanttView[[#This Row],[_Row]])&amp;"")</f>
        <v/>
      </c>
      <c r="K124" s="117" t="str">
        <f aca="false">IF(IFERROR(INDEX(tsk_Name,GanttView[[#This Row],[_Row]])="",TRUE()),"",INDEX(tsk_Status,GanttView[[#This Row],[_Row]]))</f>
        <v/>
      </c>
      <c r="L124" s="121" t="n">
        <f aca="false">ROW()-ROW(GanttView[[#Headers],[ID]])</f>
        <v>119</v>
      </c>
      <c r="M124" s="122" t="b">
        <f aca="false">IF(IFERROR(INDEX(tsk_Name,GanttView[[#This Row],[_Row]])="",TRUE()),FALSE(),INDEX(tsk_IsSummary,GanttView[[#This Row],[_Row]]))</f>
        <v>0</v>
      </c>
      <c r="N124" s="122" t="b">
        <f aca="false">IF(IFERROR(INDEX(tsk_Name,GanttView[[#This Row],[_Row]])="",TRUE()),FALSE(),AND(INDEX(tsk_IsLeaf,GanttView[[#This Row],[_Row]])=1,N(INDEX(tsk_Duration,GanttView[[#This Row],[_Row]]))=0))</f>
        <v>0</v>
      </c>
      <c r="O124" s="123" t="n">
        <f aca="false">IF(IFERROR(INDEX(tsk_Name,GanttView[[#This Row],[_Row]])="",TRUE()),0,IF(AND(INDEX(tsk_IsLeaf,GanttView[[#This Row],[_Row]])=1,NOT(GanttView[[#This Row],[_IsMilestone]]),N(GanttView[[#This Row],[%]])&gt;0),GanttView[[#This Row],[Forecast Start]],0))</f>
        <v>0</v>
      </c>
      <c r="P124" s="123" t="n">
        <f aca="false">IF(GanttView[[#This Row],[_DoneFrom]]=0,0,IF(GanttView[[#This Row],[%]]&gt;=1,GanttView[[#This Row],[Forecast Finish]],MAX(GanttView[[#This Row],[_DoneFrom]],GanttView[[#This Row],[Forecast Start]]+ROUND((GanttView[[#This Row],[Forecast Finish]]-GanttView[[#This Row],[Forecast Start]]+1)*GanttView[[#This Row],[%]],0)-1)))</f>
        <v>0</v>
      </c>
      <c r="Q124" s="123" t="n">
        <f aca="false">IF(IFERROR(INDEX(tsk_Name,GanttView[[#This Row],[_Row]])="",TRUE()),0,IF(OR(INDEX(tsk_IsLeaf,GanttView[[#This Row],[_Row]])&lt;&gt;1,GanttView[[#This Row],[_IsMilestone]],N(GanttView[[#This Row],[%]])&gt;=1),0,IF(GanttView[[#This Row],[_DoneTo]]&gt;0,GanttView[[#This Row],[_DoneTo]]+1,GanttView[[#This Row],[Forecast Start]])))</f>
        <v>0</v>
      </c>
      <c r="R124" s="123" t="n">
        <f aca="false">IF(GanttView[[#This Row],[_RemFrom]]=0,0,GanttView[[#This Row],[Forecast Finish]])</f>
        <v>0</v>
      </c>
      <c r="S124" s="122" t="b">
        <f aca="false">IF(IFERROR(INDEX(tsk_Name,GanttView[[#This Row],[_Row]])="",TRUE()),FALSE(),N(INDEX(tsk_Variance,GanttView[[#This Row],[_Row]]))&gt;0)</f>
        <v>0</v>
      </c>
      <c r="T124" s="123" t="n">
        <f aca="false">IF(IFERROR(INDEX(tsk_Name,GanttView[[#This Row],[_Row]])="",TRUE()),0,N(INDEX(tsk_Deadline,GanttView[[#This Row],[_Row]])))</f>
        <v>0</v>
      </c>
      <c r="U124" s="122"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Row],[_Row]])="",TRUE()),"",INDEX(tsk_ResourceNames,GanttView[[#This Row],[_Row]])&amp;"")</f>
        <v/>
      </c>
      <c r="K125" s="117" t="str">
        <f aca="false">IF(IFERROR(INDEX(tsk_Name,GanttView[[#This Row],[_Row]])="",TRUE()),"",INDEX(tsk_Status,GanttView[[#This Row],[_Row]]))</f>
        <v/>
      </c>
      <c r="L125" s="121" t="n">
        <f aca="false">ROW()-ROW(GanttView[[#Headers],[ID]])</f>
        <v>120</v>
      </c>
      <c r="M125" s="122" t="b">
        <f aca="false">IF(IFERROR(INDEX(tsk_Name,GanttView[[#This Row],[_Row]])="",TRUE()),FALSE(),INDEX(tsk_IsSummary,GanttView[[#This Row],[_Row]]))</f>
        <v>0</v>
      </c>
      <c r="N125" s="122" t="b">
        <f aca="false">IF(IFERROR(INDEX(tsk_Name,GanttView[[#This Row],[_Row]])="",TRUE()),FALSE(),AND(INDEX(tsk_IsLeaf,GanttView[[#This Row],[_Row]])=1,N(INDEX(tsk_Duration,GanttView[[#This Row],[_Row]]))=0))</f>
        <v>0</v>
      </c>
      <c r="O125" s="123" t="n">
        <f aca="false">IF(IFERROR(INDEX(tsk_Name,GanttView[[#This Row],[_Row]])="",TRUE()),0,IF(AND(INDEX(tsk_IsLeaf,GanttView[[#This Row],[_Row]])=1,NOT(GanttView[[#This Row],[_IsMilestone]]),N(GanttView[[#This Row],[%]])&gt;0),GanttView[[#This Row],[Forecast Start]],0))</f>
        <v>0</v>
      </c>
      <c r="P125" s="123" t="n">
        <f aca="false">IF(GanttView[[#This Row],[_DoneFrom]]=0,0,IF(GanttView[[#This Row],[%]]&gt;=1,GanttView[[#This Row],[Forecast Finish]],MAX(GanttView[[#This Row],[_DoneFrom]],GanttView[[#This Row],[Forecast Start]]+ROUND((GanttView[[#This Row],[Forecast Finish]]-GanttView[[#This Row],[Forecast Start]]+1)*GanttView[[#This Row],[%]],0)-1)))</f>
        <v>0</v>
      </c>
      <c r="Q125" s="123" t="n">
        <f aca="false">IF(IFERROR(INDEX(tsk_Name,GanttView[[#This Row],[_Row]])="",TRUE()),0,IF(OR(INDEX(tsk_IsLeaf,GanttView[[#This Row],[_Row]])&lt;&gt;1,GanttView[[#This Row],[_IsMilestone]],N(GanttView[[#This Row],[%]])&gt;=1),0,IF(GanttView[[#This Row],[_DoneTo]]&gt;0,GanttView[[#This Row],[_DoneTo]]+1,GanttView[[#This Row],[Forecast Start]])))</f>
        <v>0</v>
      </c>
      <c r="R125" s="123" t="n">
        <f aca="false">IF(GanttView[[#This Row],[_RemFrom]]=0,0,GanttView[[#This Row],[Forecast Finish]])</f>
        <v>0</v>
      </c>
      <c r="S125" s="122" t="b">
        <f aca="false">IF(IFERROR(INDEX(tsk_Name,GanttView[[#This Row],[_Row]])="",TRUE()),FALSE(),N(INDEX(tsk_Variance,GanttView[[#This Row],[_Row]]))&gt;0)</f>
        <v>0</v>
      </c>
      <c r="T125" s="123" t="n">
        <f aca="false">IF(IFERROR(INDEX(tsk_Name,GanttView[[#This Row],[_Row]])="",TRUE()),0,N(INDEX(tsk_Deadline,GanttView[[#This Row],[_Row]])))</f>
        <v>0</v>
      </c>
      <c r="U125" s="122"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Row],[_Row]])="",TRUE()),"",INDEX(tsk_ResourceNames,GanttView[[#This Row],[_Row]])&amp;"")</f>
        <v/>
      </c>
      <c r="K126" s="117" t="str">
        <f aca="false">IF(IFERROR(INDEX(tsk_Name,GanttView[[#This Row],[_Row]])="",TRUE()),"",INDEX(tsk_Status,GanttView[[#This Row],[_Row]]))</f>
        <v/>
      </c>
      <c r="L126" s="121" t="n">
        <f aca="false">ROW()-ROW(GanttView[[#Headers],[ID]])</f>
        <v>121</v>
      </c>
      <c r="M126" s="122" t="b">
        <f aca="false">IF(IFERROR(INDEX(tsk_Name,GanttView[[#This Row],[_Row]])="",TRUE()),FALSE(),INDEX(tsk_IsSummary,GanttView[[#This Row],[_Row]]))</f>
        <v>0</v>
      </c>
      <c r="N126" s="122" t="b">
        <f aca="false">IF(IFERROR(INDEX(tsk_Name,GanttView[[#This Row],[_Row]])="",TRUE()),FALSE(),AND(INDEX(tsk_IsLeaf,GanttView[[#This Row],[_Row]])=1,N(INDEX(tsk_Duration,GanttView[[#This Row],[_Row]]))=0))</f>
        <v>0</v>
      </c>
      <c r="O126" s="123" t="n">
        <f aca="false">IF(IFERROR(INDEX(tsk_Name,GanttView[[#This Row],[_Row]])="",TRUE()),0,IF(AND(INDEX(tsk_IsLeaf,GanttView[[#This Row],[_Row]])=1,NOT(GanttView[[#This Row],[_IsMilestone]]),N(GanttView[[#This Row],[%]])&gt;0),GanttView[[#This Row],[Forecast Start]],0))</f>
        <v>0</v>
      </c>
      <c r="P126" s="123" t="n">
        <f aca="false">IF(GanttView[[#This Row],[_DoneFrom]]=0,0,IF(GanttView[[#This Row],[%]]&gt;=1,GanttView[[#This Row],[Forecast Finish]],MAX(GanttView[[#This Row],[_DoneFrom]],GanttView[[#This Row],[Forecast Start]]+ROUND((GanttView[[#This Row],[Forecast Finish]]-GanttView[[#This Row],[Forecast Start]]+1)*GanttView[[#This Row],[%]],0)-1)))</f>
        <v>0</v>
      </c>
      <c r="Q126" s="123" t="n">
        <f aca="false">IF(IFERROR(INDEX(tsk_Name,GanttView[[#This Row],[_Row]])="",TRUE()),0,IF(OR(INDEX(tsk_IsLeaf,GanttView[[#This Row],[_Row]])&lt;&gt;1,GanttView[[#This Row],[_IsMilestone]],N(GanttView[[#This Row],[%]])&gt;=1),0,IF(GanttView[[#This Row],[_DoneTo]]&gt;0,GanttView[[#This Row],[_DoneTo]]+1,GanttView[[#This Row],[Forecast Start]])))</f>
        <v>0</v>
      </c>
      <c r="R126" s="123" t="n">
        <f aca="false">IF(GanttView[[#This Row],[_RemFrom]]=0,0,GanttView[[#This Row],[Forecast Finish]])</f>
        <v>0</v>
      </c>
      <c r="S126" s="122" t="b">
        <f aca="false">IF(IFERROR(INDEX(tsk_Name,GanttView[[#This Row],[_Row]])="",TRUE()),FALSE(),N(INDEX(tsk_Variance,GanttView[[#This Row],[_Row]]))&gt;0)</f>
        <v>0</v>
      </c>
      <c r="T126" s="123" t="n">
        <f aca="false">IF(IFERROR(INDEX(tsk_Name,GanttView[[#This Row],[_Row]])="",TRUE()),0,N(INDEX(tsk_Deadline,GanttView[[#This Row],[_Row]])))</f>
        <v>0</v>
      </c>
      <c r="U126" s="122"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Row],[_Row]])="",TRUE()),"",INDEX(tsk_ResourceNames,GanttView[[#This Row],[_Row]])&amp;"")</f>
        <v/>
      </c>
      <c r="K127" s="117" t="str">
        <f aca="false">IF(IFERROR(INDEX(tsk_Name,GanttView[[#This Row],[_Row]])="",TRUE()),"",INDEX(tsk_Status,GanttView[[#This Row],[_Row]]))</f>
        <v/>
      </c>
      <c r="L127" s="121" t="n">
        <f aca="false">ROW()-ROW(GanttView[[#Headers],[ID]])</f>
        <v>122</v>
      </c>
      <c r="M127" s="122" t="b">
        <f aca="false">IF(IFERROR(INDEX(tsk_Name,GanttView[[#This Row],[_Row]])="",TRUE()),FALSE(),INDEX(tsk_IsSummary,GanttView[[#This Row],[_Row]]))</f>
        <v>0</v>
      </c>
      <c r="N127" s="122" t="b">
        <f aca="false">IF(IFERROR(INDEX(tsk_Name,GanttView[[#This Row],[_Row]])="",TRUE()),FALSE(),AND(INDEX(tsk_IsLeaf,GanttView[[#This Row],[_Row]])=1,N(INDEX(tsk_Duration,GanttView[[#This Row],[_Row]]))=0))</f>
        <v>0</v>
      </c>
      <c r="O127" s="123" t="n">
        <f aca="false">IF(IFERROR(INDEX(tsk_Name,GanttView[[#This Row],[_Row]])="",TRUE()),0,IF(AND(INDEX(tsk_IsLeaf,GanttView[[#This Row],[_Row]])=1,NOT(GanttView[[#This Row],[_IsMilestone]]),N(GanttView[[#This Row],[%]])&gt;0),GanttView[[#This Row],[Forecast Start]],0))</f>
        <v>0</v>
      </c>
      <c r="P127" s="123" t="n">
        <f aca="false">IF(GanttView[[#This Row],[_DoneFrom]]=0,0,IF(GanttView[[#This Row],[%]]&gt;=1,GanttView[[#This Row],[Forecast Finish]],MAX(GanttView[[#This Row],[_DoneFrom]],GanttView[[#This Row],[Forecast Start]]+ROUND((GanttView[[#This Row],[Forecast Finish]]-GanttView[[#This Row],[Forecast Start]]+1)*GanttView[[#This Row],[%]],0)-1)))</f>
        <v>0</v>
      </c>
      <c r="Q127" s="123" t="n">
        <f aca="false">IF(IFERROR(INDEX(tsk_Name,GanttView[[#This Row],[_Row]])="",TRUE()),0,IF(OR(INDEX(tsk_IsLeaf,GanttView[[#This Row],[_Row]])&lt;&gt;1,GanttView[[#This Row],[_IsMilestone]],N(GanttView[[#This Row],[%]])&gt;=1),0,IF(GanttView[[#This Row],[_DoneTo]]&gt;0,GanttView[[#This Row],[_DoneTo]]+1,GanttView[[#This Row],[Forecast Start]])))</f>
        <v>0</v>
      </c>
      <c r="R127" s="123" t="n">
        <f aca="false">IF(GanttView[[#This Row],[_RemFrom]]=0,0,GanttView[[#This Row],[Forecast Finish]])</f>
        <v>0</v>
      </c>
      <c r="S127" s="122" t="b">
        <f aca="false">IF(IFERROR(INDEX(tsk_Name,GanttView[[#This Row],[_Row]])="",TRUE()),FALSE(),N(INDEX(tsk_Variance,GanttView[[#This Row],[_Row]]))&gt;0)</f>
        <v>0</v>
      </c>
      <c r="T127" s="123" t="n">
        <f aca="false">IF(IFERROR(INDEX(tsk_Name,GanttView[[#This Row],[_Row]])="",TRUE()),0,N(INDEX(tsk_Deadline,GanttView[[#This Row],[_Row]])))</f>
        <v>0</v>
      </c>
      <c r="U127" s="122"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Row],[_Row]])="",TRUE()),"",INDEX(tsk_ResourceNames,GanttView[[#This Row],[_Row]])&amp;"")</f>
        <v/>
      </c>
      <c r="K128" s="117" t="str">
        <f aca="false">IF(IFERROR(INDEX(tsk_Name,GanttView[[#This Row],[_Row]])="",TRUE()),"",INDEX(tsk_Status,GanttView[[#This Row],[_Row]]))</f>
        <v/>
      </c>
      <c r="L128" s="121" t="n">
        <f aca="false">ROW()-ROW(GanttView[[#Headers],[ID]])</f>
        <v>123</v>
      </c>
      <c r="M128" s="122" t="b">
        <f aca="false">IF(IFERROR(INDEX(tsk_Name,GanttView[[#This Row],[_Row]])="",TRUE()),FALSE(),INDEX(tsk_IsSummary,GanttView[[#This Row],[_Row]]))</f>
        <v>0</v>
      </c>
      <c r="N128" s="122" t="b">
        <f aca="false">IF(IFERROR(INDEX(tsk_Name,GanttView[[#This Row],[_Row]])="",TRUE()),FALSE(),AND(INDEX(tsk_IsLeaf,GanttView[[#This Row],[_Row]])=1,N(INDEX(tsk_Duration,GanttView[[#This Row],[_Row]]))=0))</f>
        <v>0</v>
      </c>
      <c r="O128" s="123" t="n">
        <f aca="false">IF(IFERROR(INDEX(tsk_Name,GanttView[[#This Row],[_Row]])="",TRUE()),0,IF(AND(INDEX(tsk_IsLeaf,GanttView[[#This Row],[_Row]])=1,NOT(GanttView[[#This Row],[_IsMilestone]]),N(GanttView[[#This Row],[%]])&gt;0),GanttView[[#This Row],[Forecast Start]],0))</f>
        <v>0</v>
      </c>
      <c r="P128" s="123" t="n">
        <f aca="false">IF(GanttView[[#This Row],[_DoneFrom]]=0,0,IF(GanttView[[#This Row],[%]]&gt;=1,GanttView[[#This Row],[Forecast Finish]],MAX(GanttView[[#This Row],[_DoneFrom]],GanttView[[#This Row],[Forecast Start]]+ROUND((GanttView[[#This Row],[Forecast Finish]]-GanttView[[#This Row],[Forecast Start]]+1)*GanttView[[#This Row],[%]],0)-1)))</f>
        <v>0</v>
      </c>
      <c r="Q128" s="123" t="n">
        <f aca="false">IF(IFERROR(INDEX(tsk_Name,GanttView[[#This Row],[_Row]])="",TRUE()),0,IF(OR(INDEX(tsk_IsLeaf,GanttView[[#This Row],[_Row]])&lt;&gt;1,GanttView[[#This Row],[_IsMilestone]],N(GanttView[[#This Row],[%]])&gt;=1),0,IF(GanttView[[#This Row],[_DoneTo]]&gt;0,GanttView[[#This Row],[_DoneTo]]+1,GanttView[[#This Row],[Forecast Start]])))</f>
        <v>0</v>
      </c>
      <c r="R128" s="123" t="n">
        <f aca="false">IF(GanttView[[#This Row],[_RemFrom]]=0,0,GanttView[[#This Row],[Forecast Finish]])</f>
        <v>0</v>
      </c>
      <c r="S128" s="122" t="b">
        <f aca="false">IF(IFERROR(INDEX(tsk_Name,GanttView[[#This Row],[_Row]])="",TRUE()),FALSE(),N(INDEX(tsk_Variance,GanttView[[#This Row],[_Row]]))&gt;0)</f>
        <v>0</v>
      </c>
      <c r="T128" s="123" t="n">
        <f aca="false">IF(IFERROR(INDEX(tsk_Name,GanttView[[#This Row],[_Row]])="",TRUE()),0,N(INDEX(tsk_Deadline,GanttView[[#This Row],[_Row]])))</f>
        <v>0</v>
      </c>
      <c r="U128" s="122"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Row],[_Row]])="",TRUE()),"",INDEX(tsk_ResourceNames,GanttView[[#This Row],[_Row]])&amp;"")</f>
        <v/>
      </c>
      <c r="K129" s="117" t="str">
        <f aca="false">IF(IFERROR(INDEX(tsk_Name,GanttView[[#This Row],[_Row]])="",TRUE()),"",INDEX(tsk_Status,GanttView[[#This Row],[_Row]]))</f>
        <v/>
      </c>
      <c r="L129" s="121" t="n">
        <f aca="false">ROW()-ROW(GanttView[[#Headers],[ID]])</f>
        <v>124</v>
      </c>
      <c r="M129" s="122" t="b">
        <f aca="false">IF(IFERROR(INDEX(tsk_Name,GanttView[[#This Row],[_Row]])="",TRUE()),FALSE(),INDEX(tsk_IsSummary,GanttView[[#This Row],[_Row]]))</f>
        <v>0</v>
      </c>
      <c r="N129" s="122" t="b">
        <f aca="false">IF(IFERROR(INDEX(tsk_Name,GanttView[[#This Row],[_Row]])="",TRUE()),FALSE(),AND(INDEX(tsk_IsLeaf,GanttView[[#This Row],[_Row]])=1,N(INDEX(tsk_Duration,GanttView[[#This Row],[_Row]]))=0))</f>
        <v>0</v>
      </c>
      <c r="O129" s="123" t="n">
        <f aca="false">IF(IFERROR(INDEX(tsk_Name,GanttView[[#This Row],[_Row]])="",TRUE()),0,IF(AND(INDEX(tsk_IsLeaf,GanttView[[#This Row],[_Row]])=1,NOT(GanttView[[#This Row],[_IsMilestone]]),N(GanttView[[#This Row],[%]])&gt;0),GanttView[[#This Row],[Forecast Start]],0))</f>
        <v>0</v>
      </c>
      <c r="P129" s="123" t="n">
        <f aca="false">IF(GanttView[[#This Row],[_DoneFrom]]=0,0,IF(GanttView[[#This Row],[%]]&gt;=1,GanttView[[#This Row],[Forecast Finish]],MAX(GanttView[[#This Row],[_DoneFrom]],GanttView[[#This Row],[Forecast Start]]+ROUND((GanttView[[#This Row],[Forecast Finish]]-GanttView[[#This Row],[Forecast Start]]+1)*GanttView[[#This Row],[%]],0)-1)))</f>
        <v>0</v>
      </c>
      <c r="Q129" s="123" t="n">
        <f aca="false">IF(IFERROR(INDEX(tsk_Name,GanttView[[#This Row],[_Row]])="",TRUE()),0,IF(OR(INDEX(tsk_IsLeaf,GanttView[[#This Row],[_Row]])&lt;&gt;1,GanttView[[#This Row],[_IsMilestone]],N(GanttView[[#This Row],[%]])&gt;=1),0,IF(GanttView[[#This Row],[_DoneTo]]&gt;0,GanttView[[#This Row],[_DoneTo]]+1,GanttView[[#This Row],[Forecast Start]])))</f>
        <v>0</v>
      </c>
      <c r="R129" s="123" t="n">
        <f aca="false">IF(GanttView[[#This Row],[_RemFrom]]=0,0,GanttView[[#This Row],[Forecast Finish]])</f>
        <v>0</v>
      </c>
      <c r="S129" s="122" t="b">
        <f aca="false">IF(IFERROR(INDEX(tsk_Name,GanttView[[#This Row],[_Row]])="",TRUE()),FALSE(),N(INDEX(tsk_Variance,GanttView[[#This Row],[_Row]]))&gt;0)</f>
        <v>0</v>
      </c>
      <c r="T129" s="123" t="n">
        <f aca="false">IF(IFERROR(INDEX(tsk_Name,GanttView[[#This Row],[_Row]])="",TRUE()),0,N(INDEX(tsk_Deadline,GanttView[[#This Row],[_Row]])))</f>
        <v>0</v>
      </c>
      <c r="U129" s="122"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Row],[_Row]])="",TRUE()),"",INDEX(tsk_ResourceNames,GanttView[[#This Row],[_Row]])&amp;"")</f>
        <v/>
      </c>
      <c r="K130" s="117" t="str">
        <f aca="false">IF(IFERROR(INDEX(tsk_Name,GanttView[[#This Row],[_Row]])="",TRUE()),"",INDEX(tsk_Status,GanttView[[#This Row],[_Row]]))</f>
        <v/>
      </c>
      <c r="L130" s="121" t="n">
        <f aca="false">ROW()-ROW(GanttView[[#Headers],[ID]])</f>
        <v>125</v>
      </c>
      <c r="M130" s="122" t="b">
        <f aca="false">IF(IFERROR(INDEX(tsk_Name,GanttView[[#This Row],[_Row]])="",TRUE()),FALSE(),INDEX(tsk_IsSummary,GanttView[[#This Row],[_Row]]))</f>
        <v>0</v>
      </c>
      <c r="N130" s="122" t="b">
        <f aca="false">IF(IFERROR(INDEX(tsk_Name,GanttView[[#This Row],[_Row]])="",TRUE()),FALSE(),AND(INDEX(tsk_IsLeaf,GanttView[[#This Row],[_Row]])=1,N(INDEX(tsk_Duration,GanttView[[#This Row],[_Row]]))=0))</f>
        <v>0</v>
      </c>
      <c r="O130" s="123" t="n">
        <f aca="false">IF(IFERROR(INDEX(tsk_Name,GanttView[[#This Row],[_Row]])="",TRUE()),0,IF(AND(INDEX(tsk_IsLeaf,GanttView[[#This Row],[_Row]])=1,NOT(GanttView[[#This Row],[_IsMilestone]]),N(GanttView[[#This Row],[%]])&gt;0),GanttView[[#This Row],[Forecast Start]],0))</f>
        <v>0</v>
      </c>
      <c r="P130" s="123" t="n">
        <f aca="false">IF(GanttView[[#This Row],[_DoneFrom]]=0,0,IF(GanttView[[#This Row],[%]]&gt;=1,GanttView[[#This Row],[Forecast Finish]],MAX(GanttView[[#This Row],[_DoneFrom]],GanttView[[#This Row],[Forecast Start]]+ROUND((GanttView[[#This Row],[Forecast Finish]]-GanttView[[#This Row],[Forecast Start]]+1)*GanttView[[#This Row],[%]],0)-1)))</f>
        <v>0</v>
      </c>
      <c r="Q130" s="123" t="n">
        <f aca="false">IF(IFERROR(INDEX(tsk_Name,GanttView[[#This Row],[_Row]])="",TRUE()),0,IF(OR(INDEX(tsk_IsLeaf,GanttView[[#This Row],[_Row]])&lt;&gt;1,GanttView[[#This Row],[_IsMilestone]],N(GanttView[[#This Row],[%]])&gt;=1),0,IF(GanttView[[#This Row],[_DoneTo]]&gt;0,GanttView[[#This Row],[_DoneTo]]+1,GanttView[[#This Row],[Forecast Start]])))</f>
        <v>0</v>
      </c>
      <c r="R130" s="123" t="n">
        <f aca="false">IF(GanttView[[#This Row],[_RemFrom]]=0,0,GanttView[[#This Row],[Forecast Finish]])</f>
        <v>0</v>
      </c>
      <c r="S130" s="122" t="b">
        <f aca="false">IF(IFERROR(INDEX(tsk_Name,GanttView[[#This Row],[_Row]])="",TRUE()),FALSE(),N(INDEX(tsk_Variance,GanttView[[#This Row],[_Row]]))&gt;0)</f>
        <v>0</v>
      </c>
      <c r="T130" s="123" t="n">
        <f aca="false">IF(IFERROR(INDEX(tsk_Name,GanttView[[#This Row],[_Row]])="",TRUE()),0,N(INDEX(tsk_Deadline,GanttView[[#This Row],[_Row]])))</f>
        <v>0</v>
      </c>
      <c r="U130" s="122"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Row],[_Row]])="",TRUE()),"",INDEX(tsk_ResourceNames,GanttView[[#This Row],[_Row]])&amp;"")</f>
        <v/>
      </c>
      <c r="K131" s="117" t="str">
        <f aca="false">IF(IFERROR(INDEX(tsk_Name,GanttView[[#This Row],[_Row]])="",TRUE()),"",INDEX(tsk_Status,GanttView[[#This Row],[_Row]]))</f>
        <v/>
      </c>
      <c r="L131" s="121" t="n">
        <f aca="false">ROW()-ROW(GanttView[[#Headers],[ID]])</f>
        <v>126</v>
      </c>
      <c r="M131" s="122" t="b">
        <f aca="false">IF(IFERROR(INDEX(tsk_Name,GanttView[[#This Row],[_Row]])="",TRUE()),FALSE(),INDEX(tsk_IsSummary,GanttView[[#This Row],[_Row]]))</f>
        <v>0</v>
      </c>
      <c r="N131" s="122" t="b">
        <f aca="false">IF(IFERROR(INDEX(tsk_Name,GanttView[[#This Row],[_Row]])="",TRUE()),FALSE(),AND(INDEX(tsk_IsLeaf,GanttView[[#This Row],[_Row]])=1,N(INDEX(tsk_Duration,GanttView[[#This Row],[_Row]]))=0))</f>
        <v>0</v>
      </c>
      <c r="O131" s="123" t="n">
        <f aca="false">IF(IFERROR(INDEX(tsk_Name,GanttView[[#This Row],[_Row]])="",TRUE()),0,IF(AND(INDEX(tsk_IsLeaf,GanttView[[#This Row],[_Row]])=1,NOT(GanttView[[#This Row],[_IsMilestone]]),N(GanttView[[#This Row],[%]])&gt;0),GanttView[[#This Row],[Forecast Start]],0))</f>
        <v>0</v>
      </c>
      <c r="P131" s="123" t="n">
        <f aca="false">IF(GanttView[[#This Row],[_DoneFrom]]=0,0,IF(GanttView[[#This Row],[%]]&gt;=1,GanttView[[#This Row],[Forecast Finish]],MAX(GanttView[[#This Row],[_DoneFrom]],GanttView[[#This Row],[Forecast Start]]+ROUND((GanttView[[#This Row],[Forecast Finish]]-GanttView[[#This Row],[Forecast Start]]+1)*GanttView[[#This Row],[%]],0)-1)))</f>
        <v>0</v>
      </c>
      <c r="Q131" s="123" t="n">
        <f aca="false">IF(IFERROR(INDEX(tsk_Name,GanttView[[#This Row],[_Row]])="",TRUE()),0,IF(OR(INDEX(tsk_IsLeaf,GanttView[[#This Row],[_Row]])&lt;&gt;1,GanttView[[#This Row],[_IsMilestone]],N(GanttView[[#This Row],[%]])&gt;=1),0,IF(GanttView[[#This Row],[_DoneTo]]&gt;0,GanttView[[#This Row],[_DoneTo]]+1,GanttView[[#This Row],[Forecast Start]])))</f>
        <v>0</v>
      </c>
      <c r="R131" s="123" t="n">
        <f aca="false">IF(GanttView[[#This Row],[_RemFrom]]=0,0,GanttView[[#This Row],[Forecast Finish]])</f>
        <v>0</v>
      </c>
      <c r="S131" s="122" t="b">
        <f aca="false">IF(IFERROR(INDEX(tsk_Name,GanttView[[#This Row],[_Row]])="",TRUE()),FALSE(),N(INDEX(tsk_Variance,GanttView[[#This Row],[_Row]]))&gt;0)</f>
        <v>0</v>
      </c>
      <c r="T131" s="123" t="n">
        <f aca="false">IF(IFERROR(INDEX(tsk_Name,GanttView[[#This Row],[_Row]])="",TRUE()),0,N(INDEX(tsk_Deadline,GanttView[[#This Row],[_Row]])))</f>
        <v>0</v>
      </c>
      <c r="U131" s="122"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Row],[_Row]])="",TRUE()),"",INDEX(tsk_ResourceNames,GanttView[[#This Row],[_Row]])&amp;"")</f>
        <v/>
      </c>
      <c r="K132" s="117" t="str">
        <f aca="false">IF(IFERROR(INDEX(tsk_Name,GanttView[[#This Row],[_Row]])="",TRUE()),"",INDEX(tsk_Status,GanttView[[#This Row],[_Row]]))</f>
        <v/>
      </c>
      <c r="L132" s="121" t="n">
        <f aca="false">ROW()-ROW(GanttView[[#Headers],[ID]])</f>
        <v>127</v>
      </c>
      <c r="M132" s="122" t="b">
        <f aca="false">IF(IFERROR(INDEX(tsk_Name,GanttView[[#This Row],[_Row]])="",TRUE()),FALSE(),INDEX(tsk_IsSummary,GanttView[[#This Row],[_Row]]))</f>
        <v>0</v>
      </c>
      <c r="N132" s="122" t="b">
        <f aca="false">IF(IFERROR(INDEX(tsk_Name,GanttView[[#This Row],[_Row]])="",TRUE()),FALSE(),AND(INDEX(tsk_IsLeaf,GanttView[[#This Row],[_Row]])=1,N(INDEX(tsk_Duration,GanttView[[#This Row],[_Row]]))=0))</f>
        <v>0</v>
      </c>
      <c r="O132" s="123" t="n">
        <f aca="false">IF(IFERROR(INDEX(tsk_Name,GanttView[[#This Row],[_Row]])="",TRUE()),0,IF(AND(INDEX(tsk_IsLeaf,GanttView[[#This Row],[_Row]])=1,NOT(GanttView[[#This Row],[_IsMilestone]]),N(GanttView[[#This Row],[%]])&gt;0),GanttView[[#This Row],[Forecast Start]],0))</f>
        <v>0</v>
      </c>
      <c r="P132" s="123" t="n">
        <f aca="false">IF(GanttView[[#This Row],[_DoneFrom]]=0,0,IF(GanttView[[#This Row],[%]]&gt;=1,GanttView[[#This Row],[Forecast Finish]],MAX(GanttView[[#This Row],[_DoneFrom]],GanttView[[#This Row],[Forecast Start]]+ROUND((GanttView[[#This Row],[Forecast Finish]]-GanttView[[#This Row],[Forecast Start]]+1)*GanttView[[#This Row],[%]],0)-1)))</f>
        <v>0</v>
      </c>
      <c r="Q132" s="123" t="n">
        <f aca="false">IF(IFERROR(INDEX(tsk_Name,GanttView[[#This Row],[_Row]])="",TRUE()),0,IF(OR(INDEX(tsk_IsLeaf,GanttView[[#This Row],[_Row]])&lt;&gt;1,GanttView[[#This Row],[_IsMilestone]],N(GanttView[[#This Row],[%]])&gt;=1),0,IF(GanttView[[#This Row],[_DoneTo]]&gt;0,GanttView[[#This Row],[_DoneTo]]+1,GanttView[[#This Row],[Forecast Start]])))</f>
        <v>0</v>
      </c>
      <c r="R132" s="123" t="n">
        <f aca="false">IF(GanttView[[#This Row],[_RemFrom]]=0,0,GanttView[[#This Row],[Forecast Finish]])</f>
        <v>0</v>
      </c>
      <c r="S132" s="122" t="b">
        <f aca="false">IF(IFERROR(INDEX(tsk_Name,GanttView[[#This Row],[_Row]])="",TRUE()),FALSE(),N(INDEX(tsk_Variance,GanttView[[#This Row],[_Row]]))&gt;0)</f>
        <v>0</v>
      </c>
      <c r="T132" s="123" t="n">
        <f aca="false">IF(IFERROR(INDEX(tsk_Name,GanttView[[#This Row],[_Row]])="",TRUE()),0,N(INDEX(tsk_Deadline,GanttView[[#This Row],[_Row]])))</f>
        <v>0</v>
      </c>
      <c r="U132" s="122"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Row],[_Row]])="",TRUE()),"",INDEX(tsk_ResourceNames,GanttView[[#This Row],[_Row]])&amp;"")</f>
        <v/>
      </c>
      <c r="K133" s="117" t="str">
        <f aca="false">IF(IFERROR(INDEX(tsk_Name,GanttView[[#This Row],[_Row]])="",TRUE()),"",INDEX(tsk_Status,GanttView[[#This Row],[_Row]]))</f>
        <v/>
      </c>
      <c r="L133" s="121" t="n">
        <f aca="false">ROW()-ROW(GanttView[[#Headers],[ID]])</f>
        <v>128</v>
      </c>
      <c r="M133" s="122" t="b">
        <f aca="false">IF(IFERROR(INDEX(tsk_Name,GanttView[[#This Row],[_Row]])="",TRUE()),FALSE(),INDEX(tsk_IsSummary,GanttView[[#This Row],[_Row]]))</f>
        <v>0</v>
      </c>
      <c r="N133" s="122" t="b">
        <f aca="false">IF(IFERROR(INDEX(tsk_Name,GanttView[[#This Row],[_Row]])="",TRUE()),FALSE(),AND(INDEX(tsk_IsLeaf,GanttView[[#This Row],[_Row]])=1,N(INDEX(tsk_Duration,GanttView[[#This Row],[_Row]]))=0))</f>
        <v>0</v>
      </c>
      <c r="O133" s="123" t="n">
        <f aca="false">IF(IFERROR(INDEX(tsk_Name,GanttView[[#This Row],[_Row]])="",TRUE()),0,IF(AND(INDEX(tsk_IsLeaf,GanttView[[#This Row],[_Row]])=1,NOT(GanttView[[#This Row],[_IsMilestone]]),N(GanttView[[#This Row],[%]])&gt;0),GanttView[[#This Row],[Forecast Start]],0))</f>
        <v>0</v>
      </c>
      <c r="P133" s="123" t="n">
        <f aca="false">IF(GanttView[[#This Row],[_DoneFrom]]=0,0,IF(GanttView[[#This Row],[%]]&gt;=1,GanttView[[#This Row],[Forecast Finish]],MAX(GanttView[[#This Row],[_DoneFrom]],GanttView[[#This Row],[Forecast Start]]+ROUND((GanttView[[#This Row],[Forecast Finish]]-GanttView[[#This Row],[Forecast Start]]+1)*GanttView[[#This Row],[%]],0)-1)))</f>
        <v>0</v>
      </c>
      <c r="Q133" s="123" t="n">
        <f aca="false">IF(IFERROR(INDEX(tsk_Name,GanttView[[#This Row],[_Row]])="",TRUE()),0,IF(OR(INDEX(tsk_IsLeaf,GanttView[[#This Row],[_Row]])&lt;&gt;1,GanttView[[#This Row],[_IsMilestone]],N(GanttView[[#This Row],[%]])&gt;=1),0,IF(GanttView[[#This Row],[_DoneTo]]&gt;0,GanttView[[#This Row],[_DoneTo]]+1,GanttView[[#This Row],[Forecast Start]])))</f>
        <v>0</v>
      </c>
      <c r="R133" s="123" t="n">
        <f aca="false">IF(GanttView[[#This Row],[_RemFrom]]=0,0,GanttView[[#This Row],[Forecast Finish]])</f>
        <v>0</v>
      </c>
      <c r="S133" s="122" t="b">
        <f aca="false">IF(IFERROR(INDEX(tsk_Name,GanttView[[#This Row],[_Row]])="",TRUE()),FALSE(),N(INDEX(tsk_Variance,GanttView[[#This Row],[_Row]]))&gt;0)</f>
        <v>0</v>
      </c>
      <c r="T133" s="123" t="n">
        <f aca="false">IF(IFERROR(INDEX(tsk_Name,GanttView[[#This Row],[_Row]])="",TRUE()),0,N(INDEX(tsk_Deadline,GanttView[[#This Row],[_Row]])))</f>
        <v>0</v>
      </c>
      <c r="U133" s="122"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Row],[_Row]])="",TRUE()),"",INDEX(tsk_ResourceNames,GanttView[[#This Row],[_Row]])&amp;"")</f>
        <v/>
      </c>
      <c r="K134" s="117" t="str">
        <f aca="false">IF(IFERROR(INDEX(tsk_Name,GanttView[[#This Row],[_Row]])="",TRUE()),"",INDEX(tsk_Status,GanttView[[#This Row],[_Row]]))</f>
        <v/>
      </c>
      <c r="L134" s="121" t="n">
        <f aca="false">ROW()-ROW(GanttView[[#Headers],[ID]])</f>
        <v>129</v>
      </c>
      <c r="M134" s="122" t="b">
        <f aca="false">IF(IFERROR(INDEX(tsk_Name,GanttView[[#This Row],[_Row]])="",TRUE()),FALSE(),INDEX(tsk_IsSummary,GanttView[[#This Row],[_Row]]))</f>
        <v>0</v>
      </c>
      <c r="N134" s="122" t="b">
        <f aca="false">IF(IFERROR(INDEX(tsk_Name,GanttView[[#This Row],[_Row]])="",TRUE()),FALSE(),AND(INDEX(tsk_IsLeaf,GanttView[[#This Row],[_Row]])=1,N(INDEX(tsk_Duration,GanttView[[#This Row],[_Row]]))=0))</f>
        <v>0</v>
      </c>
      <c r="O134" s="123" t="n">
        <f aca="false">IF(IFERROR(INDEX(tsk_Name,GanttView[[#This Row],[_Row]])="",TRUE()),0,IF(AND(INDEX(tsk_IsLeaf,GanttView[[#This Row],[_Row]])=1,NOT(GanttView[[#This Row],[_IsMilestone]]),N(GanttView[[#This Row],[%]])&gt;0),GanttView[[#This Row],[Forecast Start]],0))</f>
        <v>0</v>
      </c>
      <c r="P134" s="123" t="n">
        <f aca="false">IF(GanttView[[#This Row],[_DoneFrom]]=0,0,IF(GanttView[[#This Row],[%]]&gt;=1,GanttView[[#This Row],[Forecast Finish]],MAX(GanttView[[#This Row],[_DoneFrom]],GanttView[[#This Row],[Forecast Start]]+ROUND((GanttView[[#This Row],[Forecast Finish]]-GanttView[[#This Row],[Forecast Start]]+1)*GanttView[[#This Row],[%]],0)-1)))</f>
        <v>0</v>
      </c>
      <c r="Q134" s="123" t="n">
        <f aca="false">IF(IFERROR(INDEX(tsk_Name,GanttView[[#This Row],[_Row]])="",TRUE()),0,IF(OR(INDEX(tsk_IsLeaf,GanttView[[#This Row],[_Row]])&lt;&gt;1,GanttView[[#This Row],[_IsMilestone]],N(GanttView[[#This Row],[%]])&gt;=1),0,IF(GanttView[[#This Row],[_DoneTo]]&gt;0,GanttView[[#This Row],[_DoneTo]]+1,GanttView[[#This Row],[Forecast Start]])))</f>
        <v>0</v>
      </c>
      <c r="R134" s="123" t="n">
        <f aca="false">IF(GanttView[[#This Row],[_RemFrom]]=0,0,GanttView[[#This Row],[Forecast Finish]])</f>
        <v>0</v>
      </c>
      <c r="S134" s="122" t="b">
        <f aca="false">IF(IFERROR(INDEX(tsk_Name,GanttView[[#This Row],[_Row]])="",TRUE()),FALSE(),N(INDEX(tsk_Variance,GanttView[[#This Row],[_Row]]))&gt;0)</f>
        <v>0</v>
      </c>
      <c r="T134" s="123" t="n">
        <f aca="false">IF(IFERROR(INDEX(tsk_Name,GanttView[[#This Row],[_Row]])="",TRUE()),0,N(INDEX(tsk_Deadline,GanttView[[#This Row],[_Row]])))</f>
        <v>0</v>
      </c>
      <c r="U134" s="122"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Row],[_Row]])="",TRUE()),"",INDEX(tsk_ResourceNames,GanttView[[#This Row],[_Row]])&amp;"")</f>
        <v/>
      </c>
      <c r="K135" s="117" t="str">
        <f aca="false">IF(IFERROR(INDEX(tsk_Name,GanttView[[#This Row],[_Row]])="",TRUE()),"",INDEX(tsk_Status,GanttView[[#This Row],[_Row]]))</f>
        <v/>
      </c>
      <c r="L135" s="121" t="n">
        <f aca="false">ROW()-ROW(GanttView[[#Headers],[ID]])</f>
        <v>130</v>
      </c>
      <c r="M135" s="122" t="b">
        <f aca="false">IF(IFERROR(INDEX(tsk_Name,GanttView[[#This Row],[_Row]])="",TRUE()),FALSE(),INDEX(tsk_IsSummary,GanttView[[#This Row],[_Row]]))</f>
        <v>0</v>
      </c>
      <c r="N135" s="122" t="b">
        <f aca="false">IF(IFERROR(INDEX(tsk_Name,GanttView[[#This Row],[_Row]])="",TRUE()),FALSE(),AND(INDEX(tsk_IsLeaf,GanttView[[#This Row],[_Row]])=1,N(INDEX(tsk_Duration,GanttView[[#This Row],[_Row]]))=0))</f>
        <v>0</v>
      </c>
      <c r="O135" s="123" t="n">
        <f aca="false">IF(IFERROR(INDEX(tsk_Name,GanttView[[#This Row],[_Row]])="",TRUE()),0,IF(AND(INDEX(tsk_IsLeaf,GanttView[[#This Row],[_Row]])=1,NOT(GanttView[[#This Row],[_IsMilestone]]),N(GanttView[[#This Row],[%]])&gt;0),GanttView[[#This Row],[Forecast Start]],0))</f>
        <v>0</v>
      </c>
      <c r="P135" s="123" t="n">
        <f aca="false">IF(GanttView[[#This Row],[_DoneFrom]]=0,0,IF(GanttView[[#This Row],[%]]&gt;=1,GanttView[[#This Row],[Forecast Finish]],MAX(GanttView[[#This Row],[_DoneFrom]],GanttView[[#This Row],[Forecast Start]]+ROUND((GanttView[[#This Row],[Forecast Finish]]-GanttView[[#This Row],[Forecast Start]]+1)*GanttView[[#This Row],[%]],0)-1)))</f>
        <v>0</v>
      </c>
      <c r="Q135" s="123" t="n">
        <f aca="false">IF(IFERROR(INDEX(tsk_Name,GanttView[[#This Row],[_Row]])="",TRUE()),0,IF(OR(INDEX(tsk_IsLeaf,GanttView[[#This Row],[_Row]])&lt;&gt;1,GanttView[[#This Row],[_IsMilestone]],N(GanttView[[#This Row],[%]])&gt;=1),0,IF(GanttView[[#This Row],[_DoneTo]]&gt;0,GanttView[[#This Row],[_DoneTo]]+1,GanttView[[#This Row],[Forecast Start]])))</f>
        <v>0</v>
      </c>
      <c r="R135" s="123" t="n">
        <f aca="false">IF(GanttView[[#This Row],[_RemFrom]]=0,0,GanttView[[#This Row],[Forecast Finish]])</f>
        <v>0</v>
      </c>
      <c r="S135" s="122" t="b">
        <f aca="false">IF(IFERROR(INDEX(tsk_Name,GanttView[[#This Row],[_Row]])="",TRUE()),FALSE(),N(INDEX(tsk_Variance,GanttView[[#This Row],[_Row]]))&gt;0)</f>
        <v>0</v>
      </c>
      <c r="T135" s="123" t="n">
        <f aca="false">IF(IFERROR(INDEX(tsk_Name,GanttView[[#This Row],[_Row]])="",TRUE()),0,N(INDEX(tsk_Deadline,GanttView[[#This Row],[_Row]])))</f>
        <v>0</v>
      </c>
      <c r="U135" s="122"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Row],[_Row]])="",TRUE()),"",INDEX(tsk_ResourceNames,GanttView[[#This Row],[_Row]])&amp;"")</f>
        <v/>
      </c>
      <c r="K136" s="117" t="str">
        <f aca="false">IF(IFERROR(INDEX(tsk_Name,GanttView[[#This Row],[_Row]])="",TRUE()),"",INDEX(tsk_Status,GanttView[[#This Row],[_Row]]))</f>
        <v/>
      </c>
      <c r="L136" s="121" t="n">
        <f aca="false">ROW()-ROW(GanttView[[#Headers],[ID]])</f>
        <v>131</v>
      </c>
      <c r="M136" s="122" t="b">
        <f aca="false">IF(IFERROR(INDEX(tsk_Name,GanttView[[#This Row],[_Row]])="",TRUE()),FALSE(),INDEX(tsk_IsSummary,GanttView[[#This Row],[_Row]]))</f>
        <v>0</v>
      </c>
      <c r="N136" s="122" t="b">
        <f aca="false">IF(IFERROR(INDEX(tsk_Name,GanttView[[#This Row],[_Row]])="",TRUE()),FALSE(),AND(INDEX(tsk_IsLeaf,GanttView[[#This Row],[_Row]])=1,N(INDEX(tsk_Duration,GanttView[[#This Row],[_Row]]))=0))</f>
        <v>0</v>
      </c>
      <c r="O136" s="123" t="n">
        <f aca="false">IF(IFERROR(INDEX(tsk_Name,GanttView[[#This Row],[_Row]])="",TRUE()),0,IF(AND(INDEX(tsk_IsLeaf,GanttView[[#This Row],[_Row]])=1,NOT(GanttView[[#This Row],[_IsMilestone]]),N(GanttView[[#This Row],[%]])&gt;0),GanttView[[#This Row],[Forecast Start]],0))</f>
        <v>0</v>
      </c>
      <c r="P136" s="123" t="n">
        <f aca="false">IF(GanttView[[#This Row],[_DoneFrom]]=0,0,IF(GanttView[[#This Row],[%]]&gt;=1,GanttView[[#This Row],[Forecast Finish]],MAX(GanttView[[#This Row],[_DoneFrom]],GanttView[[#This Row],[Forecast Start]]+ROUND((GanttView[[#This Row],[Forecast Finish]]-GanttView[[#This Row],[Forecast Start]]+1)*GanttView[[#This Row],[%]],0)-1)))</f>
        <v>0</v>
      </c>
      <c r="Q136" s="123" t="n">
        <f aca="false">IF(IFERROR(INDEX(tsk_Name,GanttView[[#This Row],[_Row]])="",TRUE()),0,IF(OR(INDEX(tsk_IsLeaf,GanttView[[#This Row],[_Row]])&lt;&gt;1,GanttView[[#This Row],[_IsMilestone]],N(GanttView[[#This Row],[%]])&gt;=1),0,IF(GanttView[[#This Row],[_DoneTo]]&gt;0,GanttView[[#This Row],[_DoneTo]]+1,GanttView[[#This Row],[Forecast Start]])))</f>
        <v>0</v>
      </c>
      <c r="R136" s="123" t="n">
        <f aca="false">IF(GanttView[[#This Row],[_RemFrom]]=0,0,GanttView[[#This Row],[Forecast Finish]])</f>
        <v>0</v>
      </c>
      <c r="S136" s="122" t="b">
        <f aca="false">IF(IFERROR(INDEX(tsk_Name,GanttView[[#This Row],[_Row]])="",TRUE()),FALSE(),N(INDEX(tsk_Variance,GanttView[[#This Row],[_Row]]))&gt;0)</f>
        <v>0</v>
      </c>
      <c r="T136" s="123" t="n">
        <f aca="false">IF(IFERROR(INDEX(tsk_Name,GanttView[[#This Row],[_Row]])="",TRUE()),0,N(INDEX(tsk_Deadline,GanttView[[#This Row],[_Row]])))</f>
        <v>0</v>
      </c>
      <c r="U136" s="122"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Row],[_Row]])="",TRUE()),"",INDEX(tsk_ResourceNames,GanttView[[#This Row],[_Row]])&amp;"")</f>
        <v/>
      </c>
      <c r="K137" s="117" t="str">
        <f aca="false">IF(IFERROR(INDEX(tsk_Name,GanttView[[#This Row],[_Row]])="",TRUE()),"",INDEX(tsk_Status,GanttView[[#This Row],[_Row]]))</f>
        <v/>
      </c>
      <c r="L137" s="121" t="n">
        <f aca="false">ROW()-ROW(GanttView[[#Headers],[ID]])</f>
        <v>132</v>
      </c>
      <c r="M137" s="122" t="b">
        <f aca="false">IF(IFERROR(INDEX(tsk_Name,GanttView[[#This Row],[_Row]])="",TRUE()),FALSE(),INDEX(tsk_IsSummary,GanttView[[#This Row],[_Row]]))</f>
        <v>0</v>
      </c>
      <c r="N137" s="122" t="b">
        <f aca="false">IF(IFERROR(INDEX(tsk_Name,GanttView[[#This Row],[_Row]])="",TRUE()),FALSE(),AND(INDEX(tsk_IsLeaf,GanttView[[#This Row],[_Row]])=1,N(INDEX(tsk_Duration,GanttView[[#This Row],[_Row]]))=0))</f>
        <v>0</v>
      </c>
      <c r="O137" s="123" t="n">
        <f aca="false">IF(IFERROR(INDEX(tsk_Name,GanttView[[#This Row],[_Row]])="",TRUE()),0,IF(AND(INDEX(tsk_IsLeaf,GanttView[[#This Row],[_Row]])=1,NOT(GanttView[[#This Row],[_IsMilestone]]),N(GanttView[[#This Row],[%]])&gt;0),GanttView[[#This Row],[Forecast Start]],0))</f>
        <v>0</v>
      </c>
      <c r="P137" s="123" t="n">
        <f aca="false">IF(GanttView[[#This Row],[_DoneFrom]]=0,0,IF(GanttView[[#This Row],[%]]&gt;=1,GanttView[[#This Row],[Forecast Finish]],MAX(GanttView[[#This Row],[_DoneFrom]],GanttView[[#This Row],[Forecast Start]]+ROUND((GanttView[[#This Row],[Forecast Finish]]-GanttView[[#This Row],[Forecast Start]]+1)*GanttView[[#This Row],[%]],0)-1)))</f>
        <v>0</v>
      </c>
      <c r="Q137" s="123" t="n">
        <f aca="false">IF(IFERROR(INDEX(tsk_Name,GanttView[[#This Row],[_Row]])="",TRUE()),0,IF(OR(INDEX(tsk_IsLeaf,GanttView[[#This Row],[_Row]])&lt;&gt;1,GanttView[[#This Row],[_IsMilestone]],N(GanttView[[#This Row],[%]])&gt;=1),0,IF(GanttView[[#This Row],[_DoneTo]]&gt;0,GanttView[[#This Row],[_DoneTo]]+1,GanttView[[#This Row],[Forecast Start]])))</f>
        <v>0</v>
      </c>
      <c r="R137" s="123" t="n">
        <f aca="false">IF(GanttView[[#This Row],[_RemFrom]]=0,0,GanttView[[#This Row],[Forecast Finish]])</f>
        <v>0</v>
      </c>
      <c r="S137" s="122" t="b">
        <f aca="false">IF(IFERROR(INDEX(tsk_Name,GanttView[[#This Row],[_Row]])="",TRUE()),FALSE(),N(INDEX(tsk_Variance,GanttView[[#This Row],[_Row]]))&gt;0)</f>
        <v>0</v>
      </c>
      <c r="T137" s="123" t="n">
        <f aca="false">IF(IFERROR(INDEX(tsk_Name,GanttView[[#This Row],[_Row]])="",TRUE()),0,N(INDEX(tsk_Deadline,GanttView[[#This Row],[_Row]])))</f>
        <v>0</v>
      </c>
      <c r="U137" s="122"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Row],[_Row]])="",TRUE()),"",INDEX(tsk_ResourceNames,GanttView[[#This Row],[_Row]])&amp;"")</f>
        <v/>
      </c>
      <c r="K138" s="117" t="str">
        <f aca="false">IF(IFERROR(INDEX(tsk_Name,GanttView[[#This Row],[_Row]])="",TRUE()),"",INDEX(tsk_Status,GanttView[[#This Row],[_Row]]))</f>
        <v/>
      </c>
      <c r="L138" s="121" t="n">
        <f aca="false">ROW()-ROW(GanttView[[#Headers],[ID]])</f>
        <v>133</v>
      </c>
      <c r="M138" s="122" t="b">
        <f aca="false">IF(IFERROR(INDEX(tsk_Name,GanttView[[#This Row],[_Row]])="",TRUE()),FALSE(),INDEX(tsk_IsSummary,GanttView[[#This Row],[_Row]]))</f>
        <v>0</v>
      </c>
      <c r="N138" s="122" t="b">
        <f aca="false">IF(IFERROR(INDEX(tsk_Name,GanttView[[#This Row],[_Row]])="",TRUE()),FALSE(),AND(INDEX(tsk_IsLeaf,GanttView[[#This Row],[_Row]])=1,N(INDEX(tsk_Duration,GanttView[[#This Row],[_Row]]))=0))</f>
        <v>0</v>
      </c>
      <c r="O138" s="123" t="n">
        <f aca="false">IF(IFERROR(INDEX(tsk_Name,GanttView[[#This Row],[_Row]])="",TRUE()),0,IF(AND(INDEX(tsk_IsLeaf,GanttView[[#This Row],[_Row]])=1,NOT(GanttView[[#This Row],[_IsMilestone]]),N(GanttView[[#This Row],[%]])&gt;0),GanttView[[#This Row],[Forecast Start]],0))</f>
        <v>0</v>
      </c>
      <c r="P138" s="123" t="n">
        <f aca="false">IF(GanttView[[#This Row],[_DoneFrom]]=0,0,IF(GanttView[[#This Row],[%]]&gt;=1,GanttView[[#This Row],[Forecast Finish]],MAX(GanttView[[#This Row],[_DoneFrom]],GanttView[[#This Row],[Forecast Start]]+ROUND((GanttView[[#This Row],[Forecast Finish]]-GanttView[[#This Row],[Forecast Start]]+1)*GanttView[[#This Row],[%]],0)-1)))</f>
        <v>0</v>
      </c>
      <c r="Q138" s="123" t="n">
        <f aca="false">IF(IFERROR(INDEX(tsk_Name,GanttView[[#This Row],[_Row]])="",TRUE()),0,IF(OR(INDEX(tsk_IsLeaf,GanttView[[#This Row],[_Row]])&lt;&gt;1,GanttView[[#This Row],[_IsMilestone]],N(GanttView[[#This Row],[%]])&gt;=1),0,IF(GanttView[[#This Row],[_DoneTo]]&gt;0,GanttView[[#This Row],[_DoneTo]]+1,GanttView[[#This Row],[Forecast Start]])))</f>
        <v>0</v>
      </c>
      <c r="R138" s="123" t="n">
        <f aca="false">IF(GanttView[[#This Row],[_RemFrom]]=0,0,GanttView[[#This Row],[Forecast Finish]])</f>
        <v>0</v>
      </c>
      <c r="S138" s="122" t="b">
        <f aca="false">IF(IFERROR(INDEX(tsk_Name,GanttView[[#This Row],[_Row]])="",TRUE()),FALSE(),N(INDEX(tsk_Variance,GanttView[[#This Row],[_Row]]))&gt;0)</f>
        <v>0</v>
      </c>
      <c r="T138" s="123" t="n">
        <f aca="false">IF(IFERROR(INDEX(tsk_Name,GanttView[[#This Row],[_Row]])="",TRUE()),0,N(INDEX(tsk_Deadline,GanttView[[#This Row],[_Row]])))</f>
        <v>0</v>
      </c>
      <c r="U138" s="122"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Row],[_Row]])="",TRUE()),"",INDEX(tsk_ResourceNames,GanttView[[#This Row],[_Row]])&amp;"")</f>
        <v/>
      </c>
      <c r="K139" s="117" t="str">
        <f aca="false">IF(IFERROR(INDEX(tsk_Name,GanttView[[#This Row],[_Row]])="",TRUE()),"",INDEX(tsk_Status,GanttView[[#This Row],[_Row]]))</f>
        <v/>
      </c>
      <c r="L139" s="121" t="n">
        <f aca="false">ROW()-ROW(GanttView[[#Headers],[ID]])</f>
        <v>134</v>
      </c>
      <c r="M139" s="122" t="b">
        <f aca="false">IF(IFERROR(INDEX(tsk_Name,GanttView[[#This Row],[_Row]])="",TRUE()),FALSE(),INDEX(tsk_IsSummary,GanttView[[#This Row],[_Row]]))</f>
        <v>0</v>
      </c>
      <c r="N139" s="122" t="b">
        <f aca="false">IF(IFERROR(INDEX(tsk_Name,GanttView[[#This Row],[_Row]])="",TRUE()),FALSE(),AND(INDEX(tsk_IsLeaf,GanttView[[#This Row],[_Row]])=1,N(INDEX(tsk_Duration,GanttView[[#This Row],[_Row]]))=0))</f>
        <v>0</v>
      </c>
      <c r="O139" s="123" t="n">
        <f aca="false">IF(IFERROR(INDEX(tsk_Name,GanttView[[#This Row],[_Row]])="",TRUE()),0,IF(AND(INDEX(tsk_IsLeaf,GanttView[[#This Row],[_Row]])=1,NOT(GanttView[[#This Row],[_IsMilestone]]),N(GanttView[[#This Row],[%]])&gt;0),GanttView[[#This Row],[Forecast Start]],0))</f>
        <v>0</v>
      </c>
      <c r="P139" s="123" t="n">
        <f aca="false">IF(GanttView[[#This Row],[_DoneFrom]]=0,0,IF(GanttView[[#This Row],[%]]&gt;=1,GanttView[[#This Row],[Forecast Finish]],MAX(GanttView[[#This Row],[_DoneFrom]],GanttView[[#This Row],[Forecast Start]]+ROUND((GanttView[[#This Row],[Forecast Finish]]-GanttView[[#This Row],[Forecast Start]]+1)*GanttView[[#This Row],[%]],0)-1)))</f>
        <v>0</v>
      </c>
      <c r="Q139" s="123" t="n">
        <f aca="false">IF(IFERROR(INDEX(tsk_Name,GanttView[[#This Row],[_Row]])="",TRUE()),0,IF(OR(INDEX(tsk_IsLeaf,GanttView[[#This Row],[_Row]])&lt;&gt;1,GanttView[[#This Row],[_IsMilestone]],N(GanttView[[#This Row],[%]])&gt;=1),0,IF(GanttView[[#This Row],[_DoneTo]]&gt;0,GanttView[[#This Row],[_DoneTo]]+1,GanttView[[#This Row],[Forecast Start]])))</f>
        <v>0</v>
      </c>
      <c r="R139" s="123" t="n">
        <f aca="false">IF(GanttView[[#This Row],[_RemFrom]]=0,0,GanttView[[#This Row],[Forecast Finish]])</f>
        <v>0</v>
      </c>
      <c r="S139" s="122" t="b">
        <f aca="false">IF(IFERROR(INDEX(tsk_Name,GanttView[[#This Row],[_Row]])="",TRUE()),FALSE(),N(INDEX(tsk_Variance,GanttView[[#This Row],[_Row]]))&gt;0)</f>
        <v>0</v>
      </c>
      <c r="T139" s="123" t="n">
        <f aca="false">IF(IFERROR(INDEX(tsk_Name,GanttView[[#This Row],[_Row]])="",TRUE()),0,N(INDEX(tsk_Deadline,GanttView[[#This Row],[_Row]])))</f>
        <v>0</v>
      </c>
      <c r="U139" s="122"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Row],[_Row]])="",TRUE()),"",INDEX(tsk_ResourceNames,GanttView[[#This Row],[_Row]])&amp;"")</f>
        <v/>
      </c>
      <c r="K140" s="117" t="str">
        <f aca="false">IF(IFERROR(INDEX(tsk_Name,GanttView[[#This Row],[_Row]])="",TRUE()),"",INDEX(tsk_Status,GanttView[[#This Row],[_Row]]))</f>
        <v/>
      </c>
      <c r="L140" s="121" t="n">
        <f aca="false">ROW()-ROW(GanttView[[#Headers],[ID]])</f>
        <v>135</v>
      </c>
      <c r="M140" s="122" t="b">
        <f aca="false">IF(IFERROR(INDEX(tsk_Name,GanttView[[#This Row],[_Row]])="",TRUE()),FALSE(),INDEX(tsk_IsSummary,GanttView[[#This Row],[_Row]]))</f>
        <v>0</v>
      </c>
      <c r="N140" s="122" t="b">
        <f aca="false">IF(IFERROR(INDEX(tsk_Name,GanttView[[#This Row],[_Row]])="",TRUE()),FALSE(),AND(INDEX(tsk_IsLeaf,GanttView[[#This Row],[_Row]])=1,N(INDEX(tsk_Duration,GanttView[[#This Row],[_Row]]))=0))</f>
        <v>0</v>
      </c>
      <c r="O140" s="123" t="n">
        <f aca="false">IF(IFERROR(INDEX(tsk_Name,GanttView[[#This Row],[_Row]])="",TRUE()),0,IF(AND(INDEX(tsk_IsLeaf,GanttView[[#This Row],[_Row]])=1,NOT(GanttView[[#This Row],[_IsMilestone]]),N(GanttView[[#This Row],[%]])&gt;0),GanttView[[#This Row],[Forecast Start]],0))</f>
        <v>0</v>
      </c>
      <c r="P140" s="123" t="n">
        <f aca="false">IF(GanttView[[#This Row],[_DoneFrom]]=0,0,IF(GanttView[[#This Row],[%]]&gt;=1,GanttView[[#This Row],[Forecast Finish]],MAX(GanttView[[#This Row],[_DoneFrom]],GanttView[[#This Row],[Forecast Start]]+ROUND((GanttView[[#This Row],[Forecast Finish]]-GanttView[[#This Row],[Forecast Start]]+1)*GanttView[[#This Row],[%]],0)-1)))</f>
        <v>0</v>
      </c>
      <c r="Q140" s="123" t="n">
        <f aca="false">IF(IFERROR(INDEX(tsk_Name,GanttView[[#This Row],[_Row]])="",TRUE()),0,IF(OR(INDEX(tsk_IsLeaf,GanttView[[#This Row],[_Row]])&lt;&gt;1,GanttView[[#This Row],[_IsMilestone]],N(GanttView[[#This Row],[%]])&gt;=1),0,IF(GanttView[[#This Row],[_DoneTo]]&gt;0,GanttView[[#This Row],[_DoneTo]]+1,GanttView[[#This Row],[Forecast Start]])))</f>
        <v>0</v>
      </c>
      <c r="R140" s="123" t="n">
        <f aca="false">IF(GanttView[[#This Row],[_RemFrom]]=0,0,GanttView[[#This Row],[Forecast Finish]])</f>
        <v>0</v>
      </c>
      <c r="S140" s="122" t="b">
        <f aca="false">IF(IFERROR(INDEX(tsk_Name,GanttView[[#This Row],[_Row]])="",TRUE()),FALSE(),N(INDEX(tsk_Variance,GanttView[[#This Row],[_Row]]))&gt;0)</f>
        <v>0</v>
      </c>
      <c r="T140" s="123" t="n">
        <f aca="false">IF(IFERROR(INDEX(tsk_Name,GanttView[[#This Row],[_Row]])="",TRUE()),0,N(INDEX(tsk_Deadline,GanttView[[#This Row],[_Row]])))</f>
        <v>0</v>
      </c>
      <c r="U140" s="122"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Row],[_Row]])="",TRUE()),"",INDEX(tsk_ResourceNames,GanttView[[#This Row],[_Row]])&amp;"")</f>
        <v/>
      </c>
      <c r="K141" s="117" t="str">
        <f aca="false">IF(IFERROR(INDEX(tsk_Name,GanttView[[#This Row],[_Row]])="",TRUE()),"",INDEX(tsk_Status,GanttView[[#This Row],[_Row]]))</f>
        <v/>
      </c>
      <c r="L141" s="121" t="n">
        <f aca="false">ROW()-ROW(GanttView[[#Headers],[ID]])</f>
        <v>136</v>
      </c>
      <c r="M141" s="122" t="b">
        <f aca="false">IF(IFERROR(INDEX(tsk_Name,GanttView[[#This Row],[_Row]])="",TRUE()),FALSE(),INDEX(tsk_IsSummary,GanttView[[#This Row],[_Row]]))</f>
        <v>0</v>
      </c>
      <c r="N141" s="122" t="b">
        <f aca="false">IF(IFERROR(INDEX(tsk_Name,GanttView[[#This Row],[_Row]])="",TRUE()),FALSE(),AND(INDEX(tsk_IsLeaf,GanttView[[#This Row],[_Row]])=1,N(INDEX(tsk_Duration,GanttView[[#This Row],[_Row]]))=0))</f>
        <v>0</v>
      </c>
      <c r="O141" s="123" t="n">
        <f aca="false">IF(IFERROR(INDEX(tsk_Name,GanttView[[#This Row],[_Row]])="",TRUE()),0,IF(AND(INDEX(tsk_IsLeaf,GanttView[[#This Row],[_Row]])=1,NOT(GanttView[[#This Row],[_IsMilestone]]),N(GanttView[[#This Row],[%]])&gt;0),GanttView[[#This Row],[Forecast Start]],0))</f>
        <v>0</v>
      </c>
      <c r="P141" s="123" t="n">
        <f aca="false">IF(GanttView[[#This Row],[_DoneFrom]]=0,0,IF(GanttView[[#This Row],[%]]&gt;=1,GanttView[[#This Row],[Forecast Finish]],MAX(GanttView[[#This Row],[_DoneFrom]],GanttView[[#This Row],[Forecast Start]]+ROUND((GanttView[[#This Row],[Forecast Finish]]-GanttView[[#This Row],[Forecast Start]]+1)*GanttView[[#This Row],[%]],0)-1)))</f>
        <v>0</v>
      </c>
      <c r="Q141" s="123" t="n">
        <f aca="false">IF(IFERROR(INDEX(tsk_Name,GanttView[[#This Row],[_Row]])="",TRUE()),0,IF(OR(INDEX(tsk_IsLeaf,GanttView[[#This Row],[_Row]])&lt;&gt;1,GanttView[[#This Row],[_IsMilestone]],N(GanttView[[#This Row],[%]])&gt;=1),0,IF(GanttView[[#This Row],[_DoneTo]]&gt;0,GanttView[[#This Row],[_DoneTo]]+1,GanttView[[#This Row],[Forecast Start]])))</f>
        <v>0</v>
      </c>
      <c r="R141" s="123" t="n">
        <f aca="false">IF(GanttView[[#This Row],[_RemFrom]]=0,0,GanttView[[#This Row],[Forecast Finish]])</f>
        <v>0</v>
      </c>
      <c r="S141" s="122" t="b">
        <f aca="false">IF(IFERROR(INDEX(tsk_Name,GanttView[[#This Row],[_Row]])="",TRUE()),FALSE(),N(INDEX(tsk_Variance,GanttView[[#This Row],[_Row]]))&gt;0)</f>
        <v>0</v>
      </c>
      <c r="T141" s="123" t="n">
        <f aca="false">IF(IFERROR(INDEX(tsk_Name,GanttView[[#This Row],[_Row]])="",TRUE()),0,N(INDEX(tsk_Deadline,GanttView[[#This Row],[_Row]])))</f>
        <v>0</v>
      </c>
      <c r="U141" s="122"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Row],[_Row]])="",TRUE()),"",INDEX(tsk_ResourceNames,GanttView[[#This Row],[_Row]])&amp;"")</f>
        <v/>
      </c>
      <c r="K142" s="117" t="str">
        <f aca="false">IF(IFERROR(INDEX(tsk_Name,GanttView[[#This Row],[_Row]])="",TRUE()),"",INDEX(tsk_Status,GanttView[[#This Row],[_Row]]))</f>
        <v/>
      </c>
      <c r="L142" s="121" t="n">
        <f aca="false">ROW()-ROW(GanttView[[#Headers],[ID]])</f>
        <v>137</v>
      </c>
      <c r="M142" s="122" t="b">
        <f aca="false">IF(IFERROR(INDEX(tsk_Name,GanttView[[#This Row],[_Row]])="",TRUE()),FALSE(),INDEX(tsk_IsSummary,GanttView[[#This Row],[_Row]]))</f>
        <v>0</v>
      </c>
      <c r="N142" s="122" t="b">
        <f aca="false">IF(IFERROR(INDEX(tsk_Name,GanttView[[#This Row],[_Row]])="",TRUE()),FALSE(),AND(INDEX(tsk_IsLeaf,GanttView[[#This Row],[_Row]])=1,N(INDEX(tsk_Duration,GanttView[[#This Row],[_Row]]))=0))</f>
        <v>0</v>
      </c>
      <c r="O142" s="123" t="n">
        <f aca="false">IF(IFERROR(INDEX(tsk_Name,GanttView[[#This Row],[_Row]])="",TRUE()),0,IF(AND(INDEX(tsk_IsLeaf,GanttView[[#This Row],[_Row]])=1,NOT(GanttView[[#This Row],[_IsMilestone]]),N(GanttView[[#This Row],[%]])&gt;0),GanttView[[#This Row],[Forecast Start]],0))</f>
        <v>0</v>
      </c>
      <c r="P142" s="123" t="n">
        <f aca="false">IF(GanttView[[#This Row],[_DoneFrom]]=0,0,IF(GanttView[[#This Row],[%]]&gt;=1,GanttView[[#This Row],[Forecast Finish]],MAX(GanttView[[#This Row],[_DoneFrom]],GanttView[[#This Row],[Forecast Start]]+ROUND((GanttView[[#This Row],[Forecast Finish]]-GanttView[[#This Row],[Forecast Start]]+1)*GanttView[[#This Row],[%]],0)-1)))</f>
        <v>0</v>
      </c>
      <c r="Q142" s="123" t="n">
        <f aca="false">IF(IFERROR(INDEX(tsk_Name,GanttView[[#This Row],[_Row]])="",TRUE()),0,IF(OR(INDEX(tsk_IsLeaf,GanttView[[#This Row],[_Row]])&lt;&gt;1,GanttView[[#This Row],[_IsMilestone]],N(GanttView[[#This Row],[%]])&gt;=1),0,IF(GanttView[[#This Row],[_DoneTo]]&gt;0,GanttView[[#This Row],[_DoneTo]]+1,GanttView[[#This Row],[Forecast Start]])))</f>
        <v>0</v>
      </c>
      <c r="R142" s="123" t="n">
        <f aca="false">IF(GanttView[[#This Row],[_RemFrom]]=0,0,GanttView[[#This Row],[Forecast Finish]])</f>
        <v>0</v>
      </c>
      <c r="S142" s="122" t="b">
        <f aca="false">IF(IFERROR(INDEX(tsk_Name,GanttView[[#This Row],[_Row]])="",TRUE()),FALSE(),N(INDEX(tsk_Variance,GanttView[[#This Row],[_Row]]))&gt;0)</f>
        <v>0</v>
      </c>
      <c r="T142" s="123" t="n">
        <f aca="false">IF(IFERROR(INDEX(tsk_Name,GanttView[[#This Row],[_Row]])="",TRUE()),0,N(INDEX(tsk_Deadline,GanttView[[#This Row],[_Row]])))</f>
        <v>0</v>
      </c>
      <c r="U142" s="122"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Row],[_Row]])="",TRUE()),"",INDEX(tsk_ResourceNames,GanttView[[#This Row],[_Row]])&amp;"")</f>
        <v/>
      </c>
      <c r="K143" s="117" t="str">
        <f aca="false">IF(IFERROR(INDEX(tsk_Name,GanttView[[#This Row],[_Row]])="",TRUE()),"",INDEX(tsk_Status,GanttView[[#This Row],[_Row]]))</f>
        <v/>
      </c>
      <c r="L143" s="121" t="n">
        <f aca="false">ROW()-ROW(GanttView[[#Headers],[ID]])</f>
        <v>138</v>
      </c>
      <c r="M143" s="122" t="b">
        <f aca="false">IF(IFERROR(INDEX(tsk_Name,GanttView[[#This Row],[_Row]])="",TRUE()),FALSE(),INDEX(tsk_IsSummary,GanttView[[#This Row],[_Row]]))</f>
        <v>0</v>
      </c>
      <c r="N143" s="122" t="b">
        <f aca="false">IF(IFERROR(INDEX(tsk_Name,GanttView[[#This Row],[_Row]])="",TRUE()),FALSE(),AND(INDEX(tsk_IsLeaf,GanttView[[#This Row],[_Row]])=1,N(INDEX(tsk_Duration,GanttView[[#This Row],[_Row]]))=0))</f>
        <v>0</v>
      </c>
      <c r="O143" s="123" t="n">
        <f aca="false">IF(IFERROR(INDEX(tsk_Name,GanttView[[#This Row],[_Row]])="",TRUE()),0,IF(AND(INDEX(tsk_IsLeaf,GanttView[[#This Row],[_Row]])=1,NOT(GanttView[[#This Row],[_IsMilestone]]),N(GanttView[[#This Row],[%]])&gt;0),GanttView[[#This Row],[Forecast Start]],0))</f>
        <v>0</v>
      </c>
      <c r="P143" s="123" t="n">
        <f aca="false">IF(GanttView[[#This Row],[_DoneFrom]]=0,0,IF(GanttView[[#This Row],[%]]&gt;=1,GanttView[[#This Row],[Forecast Finish]],MAX(GanttView[[#This Row],[_DoneFrom]],GanttView[[#This Row],[Forecast Start]]+ROUND((GanttView[[#This Row],[Forecast Finish]]-GanttView[[#This Row],[Forecast Start]]+1)*GanttView[[#This Row],[%]],0)-1)))</f>
        <v>0</v>
      </c>
      <c r="Q143" s="123" t="n">
        <f aca="false">IF(IFERROR(INDEX(tsk_Name,GanttView[[#This Row],[_Row]])="",TRUE()),0,IF(OR(INDEX(tsk_IsLeaf,GanttView[[#This Row],[_Row]])&lt;&gt;1,GanttView[[#This Row],[_IsMilestone]],N(GanttView[[#This Row],[%]])&gt;=1),0,IF(GanttView[[#This Row],[_DoneTo]]&gt;0,GanttView[[#This Row],[_DoneTo]]+1,GanttView[[#This Row],[Forecast Start]])))</f>
        <v>0</v>
      </c>
      <c r="R143" s="123" t="n">
        <f aca="false">IF(GanttView[[#This Row],[_RemFrom]]=0,0,GanttView[[#This Row],[Forecast Finish]])</f>
        <v>0</v>
      </c>
      <c r="S143" s="122" t="b">
        <f aca="false">IF(IFERROR(INDEX(tsk_Name,GanttView[[#This Row],[_Row]])="",TRUE()),FALSE(),N(INDEX(tsk_Variance,GanttView[[#This Row],[_Row]]))&gt;0)</f>
        <v>0</v>
      </c>
      <c r="T143" s="123" t="n">
        <f aca="false">IF(IFERROR(INDEX(tsk_Name,GanttView[[#This Row],[_Row]])="",TRUE()),0,N(INDEX(tsk_Deadline,GanttView[[#This Row],[_Row]])))</f>
        <v>0</v>
      </c>
      <c r="U143" s="122"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Row],[_Row]])="",TRUE()),"",INDEX(tsk_ResourceNames,GanttView[[#This Row],[_Row]])&amp;"")</f>
        <v/>
      </c>
      <c r="K144" s="117" t="str">
        <f aca="false">IF(IFERROR(INDEX(tsk_Name,GanttView[[#This Row],[_Row]])="",TRUE()),"",INDEX(tsk_Status,GanttView[[#This Row],[_Row]]))</f>
        <v/>
      </c>
      <c r="L144" s="121" t="n">
        <f aca="false">ROW()-ROW(GanttView[[#Headers],[ID]])</f>
        <v>139</v>
      </c>
      <c r="M144" s="122" t="b">
        <f aca="false">IF(IFERROR(INDEX(tsk_Name,GanttView[[#This Row],[_Row]])="",TRUE()),FALSE(),INDEX(tsk_IsSummary,GanttView[[#This Row],[_Row]]))</f>
        <v>0</v>
      </c>
      <c r="N144" s="122" t="b">
        <f aca="false">IF(IFERROR(INDEX(tsk_Name,GanttView[[#This Row],[_Row]])="",TRUE()),FALSE(),AND(INDEX(tsk_IsLeaf,GanttView[[#This Row],[_Row]])=1,N(INDEX(tsk_Duration,GanttView[[#This Row],[_Row]]))=0))</f>
        <v>0</v>
      </c>
      <c r="O144" s="123" t="n">
        <f aca="false">IF(IFERROR(INDEX(tsk_Name,GanttView[[#This Row],[_Row]])="",TRUE()),0,IF(AND(INDEX(tsk_IsLeaf,GanttView[[#This Row],[_Row]])=1,NOT(GanttView[[#This Row],[_IsMilestone]]),N(GanttView[[#This Row],[%]])&gt;0),GanttView[[#This Row],[Forecast Start]],0))</f>
        <v>0</v>
      </c>
      <c r="P144" s="123" t="n">
        <f aca="false">IF(GanttView[[#This Row],[_DoneFrom]]=0,0,IF(GanttView[[#This Row],[%]]&gt;=1,GanttView[[#This Row],[Forecast Finish]],MAX(GanttView[[#This Row],[_DoneFrom]],GanttView[[#This Row],[Forecast Start]]+ROUND((GanttView[[#This Row],[Forecast Finish]]-GanttView[[#This Row],[Forecast Start]]+1)*GanttView[[#This Row],[%]],0)-1)))</f>
        <v>0</v>
      </c>
      <c r="Q144" s="123" t="n">
        <f aca="false">IF(IFERROR(INDEX(tsk_Name,GanttView[[#This Row],[_Row]])="",TRUE()),0,IF(OR(INDEX(tsk_IsLeaf,GanttView[[#This Row],[_Row]])&lt;&gt;1,GanttView[[#This Row],[_IsMilestone]],N(GanttView[[#This Row],[%]])&gt;=1),0,IF(GanttView[[#This Row],[_DoneTo]]&gt;0,GanttView[[#This Row],[_DoneTo]]+1,GanttView[[#This Row],[Forecast Start]])))</f>
        <v>0</v>
      </c>
      <c r="R144" s="123" t="n">
        <f aca="false">IF(GanttView[[#This Row],[_RemFrom]]=0,0,GanttView[[#This Row],[Forecast Finish]])</f>
        <v>0</v>
      </c>
      <c r="S144" s="122" t="b">
        <f aca="false">IF(IFERROR(INDEX(tsk_Name,GanttView[[#This Row],[_Row]])="",TRUE()),FALSE(),N(INDEX(tsk_Variance,GanttView[[#This Row],[_Row]]))&gt;0)</f>
        <v>0</v>
      </c>
      <c r="T144" s="123" t="n">
        <f aca="false">IF(IFERROR(INDEX(tsk_Name,GanttView[[#This Row],[_Row]])="",TRUE()),0,N(INDEX(tsk_Deadline,GanttView[[#This Row],[_Row]])))</f>
        <v>0</v>
      </c>
      <c r="U144" s="122"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Row],[_Row]])="",TRUE()),"",INDEX(tsk_ResourceNames,GanttView[[#This Row],[_Row]])&amp;"")</f>
        <v/>
      </c>
      <c r="K145" s="117" t="str">
        <f aca="false">IF(IFERROR(INDEX(tsk_Name,GanttView[[#This Row],[_Row]])="",TRUE()),"",INDEX(tsk_Status,GanttView[[#This Row],[_Row]]))</f>
        <v/>
      </c>
      <c r="L145" s="121" t="n">
        <f aca="false">ROW()-ROW(GanttView[[#Headers],[ID]])</f>
        <v>140</v>
      </c>
      <c r="M145" s="122" t="b">
        <f aca="false">IF(IFERROR(INDEX(tsk_Name,GanttView[[#This Row],[_Row]])="",TRUE()),FALSE(),INDEX(tsk_IsSummary,GanttView[[#This Row],[_Row]]))</f>
        <v>0</v>
      </c>
      <c r="N145" s="122" t="b">
        <f aca="false">IF(IFERROR(INDEX(tsk_Name,GanttView[[#This Row],[_Row]])="",TRUE()),FALSE(),AND(INDEX(tsk_IsLeaf,GanttView[[#This Row],[_Row]])=1,N(INDEX(tsk_Duration,GanttView[[#This Row],[_Row]]))=0))</f>
        <v>0</v>
      </c>
      <c r="O145" s="123" t="n">
        <f aca="false">IF(IFERROR(INDEX(tsk_Name,GanttView[[#This Row],[_Row]])="",TRUE()),0,IF(AND(INDEX(tsk_IsLeaf,GanttView[[#This Row],[_Row]])=1,NOT(GanttView[[#This Row],[_IsMilestone]]),N(GanttView[[#This Row],[%]])&gt;0),GanttView[[#This Row],[Forecast Start]],0))</f>
        <v>0</v>
      </c>
      <c r="P145" s="123" t="n">
        <f aca="false">IF(GanttView[[#This Row],[_DoneFrom]]=0,0,IF(GanttView[[#This Row],[%]]&gt;=1,GanttView[[#This Row],[Forecast Finish]],MAX(GanttView[[#This Row],[_DoneFrom]],GanttView[[#This Row],[Forecast Start]]+ROUND((GanttView[[#This Row],[Forecast Finish]]-GanttView[[#This Row],[Forecast Start]]+1)*GanttView[[#This Row],[%]],0)-1)))</f>
        <v>0</v>
      </c>
      <c r="Q145" s="123" t="n">
        <f aca="false">IF(IFERROR(INDEX(tsk_Name,GanttView[[#This Row],[_Row]])="",TRUE()),0,IF(OR(INDEX(tsk_IsLeaf,GanttView[[#This Row],[_Row]])&lt;&gt;1,GanttView[[#This Row],[_IsMilestone]],N(GanttView[[#This Row],[%]])&gt;=1),0,IF(GanttView[[#This Row],[_DoneTo]]&gt;0,GanttView[[#This Row],[_DoneTo]]+1,GanttView[[#This Row],[Forecast Start]])))</f>
        <v>0</v>
      </c>
      <c r="R145" s="123" t="n">
        <f aca="false">IF(GanttView[[#This Row],[_RemFrom]]=0,0,GanttView[[#This Row],[Forecast Finish]])</f>
        <v>0</v>
      </c>
      <c r="S145" s="122" t="b">
        <f aca="false">IF(IFERROR(INDEX(tsk_Name,GanttView[[#This Row],[_Row]])="",TRUE()),FALSE(),N(INDEX(tsk_Variance,GanttView[[#This Row],[_Row]]))&gt;0)</f>
        <v>0</v>
      </c>
      <c r="T145" s="123" t="n">
        <f aca="false">IF(IFERROR(INDEX(tsk_Name,GanttView[[#This Row],[_Row]])="",TRUE()),0,N(INDEX(tsk_Deadline,GanttView[[#This Row],[_Row]])))</f>
        <v>0</v>
      </c>
      <c r="U145" s="122"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Row],[_Row]])="",TRUE()),"",INDEX(tsk_ResourceNames,GanttView[[#This Row],[_Row]])&amp;"")</f>
        <v/>
      </c>
      <c r="K146" s="117" t="str">
        <f aca="false">IF(IFERROR(INDEX(tsk_Name,GanttView[[#This Row],[_Row]])="",TRUE()),"",INDEX(tsk_Status,GanttView[[#This Row],[_Row]]))</f>
        <v/>
      </c>
      <c r="L146" s="121" t="n">
        <f aca="false">ROW()-ROW(GanttView[[#Headers],[ID]])</f>
        <v>141</v>
      </c>
      <c r="M146" s="122" t="b">
        <f aca="false">IF(IFERROR(INDEX(tsk_Name,GanttView[[#This Row],[_Row]])="",TRUE()),FALSE(),INDEX(tsk_IsSummary,GanttView[[#This Row],[_Row]]))</f>
        <v>0</v>
      </c>
      <c r="N146" s="122" t="b">
        <f aca="false">IF(IFERROR(INDEX(tsk_Name,GanttView[[#This Row],[_Row]])="",TRUE()),FALSE(),AND(INDEX(tsk_IsLeaf,GanttView[[#This Row],[_Row]])=1,N(INDEX(tsk_Duration,GanttView[[#This Row],[_Row]]))=0))</f>
        <v>0</v>
      </c>
      <c r="O146" s="123" t="n">
        <f aca="false">IF(IFERROR(INDEX(tsk_Name,GanttView[[#This Row],[_Row]])="",TRUE()),0,IF(AND(INDEX(tsk_IsLeaf,GanttView[[#This Row],[_Row]])=1,NOT(GanttView[[#This Row],[_IsMilestone]]),N(GanttView[[#This Row],[%]])&gt;0),GanttView[[#This Row],[Forecast Start]],0))</f>
        <v>0</v>
      </c>
      <c r="P146" s="123" t="n">
        <f aca="false">IF(GanttView[[#This Row],[_DoneFrom]]=0,0,IF(GanttView[[#This Row],[%]]&gt;=1,GanttView[[#This Row],[Forecast Finish]],MAX(GanttView[[#This Row],[_DoneFrom]],GanttView[[#This Row],[Forecast Start]]+ROUND((GanttView[[#This Row],[Forecast Finish]]-GanttView[[#This Row],[Forecast Start]]+1)*GanttView[[#This Row],[%]],0)-1)))</f>
        <v>0</v>
      </c>
      <c r="Q146" s="123" t="n">
        <f aca="false">IF(IFERROR(INDEX(tsk_Name,GanttView[[#This Row],[_Row]])="",TRUE()),0,IF(OR(INDEX(tsk_IsLeaf,GanttView[[#This Row],[_Row]])&lt;&gt;1,GanttView[[#This Row],[_IsMilestone]],N(GanttView[[#This Row],[%]])&gt;=1),0,IF(GanttView[[#This Row],[_DoneTo]]&gt;0,GanttView[[#This Row],[_DoneTo]]+1,GanttView[[#This Row],[Forecast Start]])))</f>
        <v>0</v>
      </c>
      <c r="R146" s="123" t="n">
        <f aca="false">IF(GanttView[[#This Row],[_RemFrom]]=0,0,GanttView[[#This Row],[Forecast Finish]])</f>
        <v>0</v>
      </c>
      <c r="S146" s="122" t="b">
        <f aca="false">IF(IFERROR(INDEX(tsk_Name,GanttView[[#This Row],[_Row]])="",TRUE()),FALSE(),N(INDEX(tsk_Variance,GanttView[[#This Row],[_Row]]))&gt;0)</f>
        <v>0</v>
      </c>
      <c r="T146" s="123" t="n">
        <f aca="false">IF(IFERROR(INDEX(tsk_Name,GanttView[[#This Row],[_Row]])="",TRUE()),0,N(INDEX(tsk_Deadline,GanttView[[#This Row],[_Row]])))</f>
        <v>0</v>
      </c>
      <c r="U146" s="122"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Row],[_Row]])="",TRUE()),"",INDEX(tsk_ResourceNames,GanttView[[#This Row],[_Row]])&amp;"")</f>
        <v/>
      </c>
      <c r="K147" s="117" t="str">
        <f aca="false">IF(IFERROR(INDEX(tsk_Name,GanttView[[#This Row],[_Row]])="",TRUE()),"",INDEX(tsk_Status,GanttView[[#This Row],[_Row]]))</f>
        <v/>
      </c>
      <c r="L147" s="121" t="n">
        <f aca="false">ROW()-ROW(GanttView[[#Headers],[ID]])</f>
        <v>142</v>
      </c>
      <c r="M147" s="122" t="b">
        <f aca="false">IF(IFERROR(INDEX(tsk_Name,GanttView[[#This Row],[_Row]])="",TRUE()),FALSE(),INDEX(tsk_IsSummary,GanttView[[#This Row],[_Row]]))</f>
        <v>0</v>
      </c>
      <c r="N147" s="122" t="b">
        <f aca="false">IF(IFERROR(INDEX(tsk_Name,GanttView[[#This Row],[_Row]])="",TRUE()),FALSE(),AND(INDEX(tsk_IsLeaf,GanttView[[#This Row],[_Row]])=1,N(INDEX(tsk_Duration,GanttView[[#This Row],[_Row]]))=0))</f>
        <v>0</v>
      </c>
      <c r="O147" s="123" t="n">
        <f aca="false">IF(IFERROR(INDEX(tsk_Name,GanttView[[#This Row],[_Row]])="",TRUE()),0,IF(AND(INDEX(tsk_IsLeaf,GanttView[[#This Row],[_Row]])=1,NOT(GanttView[[#This Row],[_IsMilestone]]),N(GanttView[[#This Row],[%]])&gt;0),GanttView[[#This Row],[Forecast Start]],0))</f>
        <v>0</v>
      </c>
      <c r="P147" s="123" t="n">
        <f aca="false">IF(GanttView[[#This Row],[_DoneFrom]]=0,0,IF(GanttView[[#This Row],[%]]&gt;=1,GanttView[[#This Row],[Forecast Finish]],MAX(GanttView[[#This Row],[_DoneFrom]],GanttView[[#This Row],[Forecast Start]]+ROUND((GanttView[[#This Row],[Forecast Finish]]-GanttView[[#This Row],[Forecast Start]]+1)*GanttView[[#This Row],[%]],0)-1)))</f>
        <v>0</v>
      </c>
      <c r="Q147" s="123" t="n">
        <f aca="false">IF(IFERROR(INDEX(tsk_Name,GanttView[[#This Row],[_Row]])="",TRUE()),0,IF(OR(INDEX(tsk_IsLeaf,GanttView[[#This Row],[_Row]])&lt;&gt;1,GanttView[[#This Row],[_IsMilestone]],N(GanttView[[#This Row],[%]])&gt;=1),0,IF(GanttView[[#This Row],[_DoneTo]]&gt;0,GanttView[[#This Row],[_DoneTo]]+1,GanttView[[#This Row],[Forecast Start]])))</f>
        <v>0</v>
      </c>
      <c r="R147" s="123" t="n">
        <f aca="false">IF(GanttView[[#This Row],[_RemFrom]]=0,0,GanttView[[#This Row],[Forecast Finish]])</f>
        <v>0</v>
      </c>
      <c r="S147" s="122" t="b">
        <f aca="false">IF(IFERROR(INDEX(tsk_Name,GanttView[[#This Row],[_Row]])="",TRUE()),FALSE(),N(INDEX(tsk_Variance,GanttView[[#This Row],[_Row]]))&gt;0)</f>
        <v>0</v>
      </c>
      <c r="T147" s="123" t="n">
        <f aca="false">IF(IFERROR(INDEX(tsk_Name,GanttView[[#This Row],[_Row]])="",TRUE()),0,N(INDEX(tsk_Deadline,GanttView[[#This Row],[_Row]])))</f>
        <v>0</v>
      </c>
      <c r="U147" s="122"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Row],[_Row]])="",TRUE()),"",INDEX(tsk_ResourceNames,GanttView[[#This Row],[_Row]])&amp;"")</f>
        <v/>
      </c>
      <c r="K148" s="117" t="str">
        <f aca="false">IF(IFERROR(INDEX(tsk_Name,GanttView[[#This Row],[_Row]])="",TRUE()),"",INDEX(tsk_Status,GanttView[[#This Row],[_Row]]))</f>
        <v/>
      </c>
      <c r="L148" s="121" t="n">
        <f aca="false">ROW()-ROW(GanttView[[#Headers],[ID]])</f>
        <v>143</v>
      </c>
      <c r="M148" s="122" t="b">
        <f aca="false">IF(IFERROR(INDEX(tsk_Name,GanttView[[#This Row],[_Row]])="",TRUE()),FALSE(),INDEX(tsk_IsSummary,GanttView[[#This Row],[_Row]]))</f>
        <v>0</v>
      </c>
      <c r="N148" s="122" t="b">
        <f aca="false">IF(IFERROR(INDEX(tsk_Name,GanttView[[#This Row],[_Row]])="",TRUE()),FALSE(),AND(INDEX(tsk_IsLeaf,GanttView[[#This Row],[_Row]])=1,N(INDEX(tsk_Duration,GanttView[[#This Row],[_Row]]))=0))</f>
        <v>0</v>
      </c>
      <c r="O148" s="123" t="n">
        <f aca="false">IF(IFERROR(INDEX(tsk_Name,GanttView[[#This Row],[_Row]])="",TRUE()),0,IF(AND(INDEX(tsk_IsLeaf,GanttView[[#This Row],[_Row]])=1,NOT(GanttView[[#This Row],[_IsMilestone]]),N(GanttView[[#This Row],[%]])&gt;0),GanttView[[#This Row],[Forecast Start]],0))</f>
        <v>0</v>
      </c>
      <c r="P148" s="123" t="n">
        <f aca="false">IF(GanttView[[#This Row],[_DoneFrom]]=0,0,IF(GanttView[[#This Row],[%]]&gt;=1,GanttView[[#This Row],[Forecast Finish]],MAX(GanttView[[#This Row],[_DoneFrom]],GanttView[[#This Row],[Forecast Start]]+ROUND((GanttView[[#This Row],[Forecast Finish]]-GanttView[[#This Row],[Forecast Start]]+1)*GanttView[[#This Row],[%]],0)-1)))</f>
        <v>0</v>
      </c>
      <c r="Q148" s="123" t="n">
        <f aca="false">IF(IFERROR(INDEX(tsk_Name,GanttView[[#This Row],[_Row]])="",TRUE()),0,IF(OR(INDEX(tsk_IsLeaf,GanttView[[#This Row],[_Row]])&lt;&gt;1,GanttView[[#This Row],[_IsMilestone]],N(GanttView[[#This Row],[%]])&gt;=1),0,IF(GanttView[[#This Row],[_DoneTo]]&gt;0,GanttView[[#This Row],[_DoneTo]]+1,GanttView[[#This Row],[Forecast Start]])))</f>
        <v>0</v>
      </c>
      <c r="R148" s="123" t="n">
        <f aca="false">IF(GanttView[[#This Row],[_RemFrom]]=0,0,GanttView[[#This Row],[Forecast Finish]])</f>
        <v>0</v>
      </c>
      <c r="S148" s="122" t="b">
        <f aca="false">IF(IFERROR(INDEX(tsk_Name,GanttView[[#This Row],[_Row]])="",TRUE()),FALSE(),N(INDEX(tsk_Variance,GanttView[[#This Row],[_Row]]))&gt;0)</f>
        <v>0</v>
      </c>
      <c r="T148" s="123" t="n">
        <f aca="false">IF(IFERROR(INDEX(tsk_Name,GanttView[[#This Row],[_Row]])="",TRUE()),0,N(INDEX(tsk_Deadline,GanttView[[#This Row],[_Row]])))</f>
        <v>0</v>
      </c>
      <c r="U148" s="122"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Row],[_Row]])="",TRUE()),"",INDEX(tsk_ResourceNames,GanttView[[#This Row],[_Row]])&amp;"")</f>
        <v/>
      </c>
      <c r="K149" s="117" t="str">
        <f aca="false">IF(IFERROR(INDEX(tsk_Name,GanttView[[#This Row],[_Row]])="",TRUE()),"",INDEX(tsk_Status,GanttView[[#This Row],[_Row]]))</f>
        <v/>
      </c>
      <c r="L149" s="121" t="n">
        <f aca="false">ROW()-ROW(GanttView[[#Headers],[ID]])</f>
        <v>144</v>
      </c>
      <c r="M149" s="122" t="b">
        <f aca="false">IF(IFERROR(INDEX(tsk_Name,GanttView[[#This Row],[_Row]])="",TRUE()),FALSE(),INDEX(tsk_IsSummary,GanttView[[#This Row],[_Row]]))</f>
        <v>0</v>
      </c>
      <c r="N149" s="122" t="b">
        <f aca="false">IF(IFERROR(INDEX(tsk_Name,GanttView[[#This Row],[_Row]])="",TRUE()),FALSE(),AND(INDEX(tsk_IsLeaf,GanttView[[#This Row],[_Row]])=1,N(INDEX(tsk_Duration,GanttView[[#This Row],[_Row]]))=0))</f>
        <v>0</v>
      </c>
      <c r="O149" s="123" t="n">
        <f aca="false">IF(IFERROR(INDEX(tsk_Name,GanttView[[#This Row],[_Row]])="",TRUE()),0,IF(AND(INDEX(tsk_IsLeaf,GanttView[[#This Row],[_Row]])=1,NOT(GanttView[[#This Row],[_IsMilestone]]),N(GanttView[[#This Row],[%]])&gt;0),GanttView[[#This Row],[Forecast Start]],0))</f>
        <v>0</v>
      </c>
      <c r="P149" s="123" t="n">
        <f aca="false">IF(GanttView[[#This Row],[_DoneFrom]]=0,0,IF(GanttView[[#This Row],[%]]&gt;=1,GanttView[[#This Row],[Forecast Finish]],MAX(GanttView[[#This Row],[_DoneFrom]],GanttView[[#This Row],[Forecast Start]]+ROUND((GanttView[[#This Row],[Forecast Finish]]-GanttView[[#This Row],[Forecast Start]]+1)*GanttView[[#This Row],[%]],0)-1)))</f>
        <v>0</v>
      </c>
      <c r="Q149" s="123" t="n">
        <f aca="false">IF(IFERROR(INDEX(tsk_Name,GanttView[[#This Row],[_Row]])="",TRUE()),0,IF(OR(INDEX(tsk_IsLeaf,GanttView[[#This Row],[_Row]])&lt;&gt;1,GanttView[[#This Row],[_IsMilestone]],N(GanttView[[#This Row],[%]])&gt;=1),0,IF(GanttView[[#This Row],[_DoneTo]]&gt;0,GanttView[[#This Row],[_DoneTo]]+1,GanttView[[#This Row],[Forecast Start]])))</f>
        <v>0</v>
      </c>
      <c r="R149" s="123" t="n">
        <f aca="false">IF(GanttView[[#This Row],[_RemFrom]]=0,0,GanttView[[#This Row],[Forecast Finish]])</f>
        <v>0</v>
      </c>
      <c r="S149" s="122" t="b">
        <f aca="false">IF(IFERROR(INDEX(tsk_Name,GanttView[[#This Row],[_Row]])="",TRUE()),FALSE(),N(INDEX(tsk_Variance,GanttView[[#This Row],[_Row]]))&gt;0)</f>
        <v>0</v>
      </c>
      <c r="T149" s="123" t="n">
        <f aca="false">IF(IFERROR(INDEX(tsk_Name,GanttView[[#This Row],[_Row]])="",TRUE()),0,N(INDEX(tsk_Deadline,GanttView[[#This Row],[_Row]])))</f>
        <v>0</v>
      </c>
      <c r="U149" s="122"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Row],[_Row]])="",TRUE()),"",INDEX(tsk_ResourceNames,GanttView[[#This Row],[_Row]])&amp;"")</f>
        <v/>
      </c>
      <c r="K150" s="117" t="str">
        <f aca="false">IF(IFERROR(INDEX(tsk_Name,GanttView[[#This Row],[_Row]])="",TRUE()),"",INDEX(tsk_Status,GanttView[[#This Row],[_Row]]))</f>
        <v/>
      </c>
      <c r="L150" s="121" t="n">
        <f aca="false">ROW()-ROW(GanttView[[#Headers],[ID]])</f>
        <v>145</v>
      </c>
      <c r="M150" s="122" t="b">
        <f aca="false">IF(IFERROR(INDEX(tsk_Name,GanttView[[#This Row],[_Row]])="",TRUE()),FALSE(),INDEX(tsk_IsSummary,GanttView[[#This Row],[_Row]]))</f>
        <v>0</v>
      </c>
      <c r="N150" s="122" t="b">
        <f aca="false">IF(IFERROR(INDEX(tsk_Name,GanttView[[#This Row],[_Row]])="",TRUE()),FALSE(),AND(INDEX(tsk_IsLeaf,GanttView[[#This Row],[_Row]])=1,N(INDEX(tsk_Duration,GanttView[[#This Row],[_Row]]))=0))</f>
        <v>0</v>
      </c>
      <c r="O150" s="123" t="n">
        <f aca="false">IF(IFERROR(INDEX(tsk_Name,GanttView[[#This Row],[_Row]])="",TRUE()),0,IF(AND(INDEX(tsk_IsLeaf,GanttView[[#This Row],[_Row]])=1,NOT(GanttView[[#This Row],[_IsMilestone]]),N(GanttView[[#This Row],[%]])&gt;0),GanttView[[#This Row],[Forecast Start]],0))</f>
        <v>0</v>
      </c>
      <c r="P150" s="123" t="n">
        <f aca="false">IF(GanttView[[#This Row],[_DoneFrom]]=0,0,IF(GanttView[[#This Row],[%]]&gt;=1,GanttView[[#This Row],[Forecast Finish]],MAX(GanttView[[#This Row],[_DoneFrom]],GanttView[[#This Row],[Forecast Start]]+ROUND((GanttView[[#This Row],[Forecast Finish]]-GanttView[[#This Row],[Forecast Start]]+1)*GanttView[[#This Row],[%]],0)-1)))</f>
        <v>0</v>
      </c>
      <c r="Q150" s="123" t="n">
        <f aca="false">IF(IFERROR(INDEX(tsk_Name,GanttView[[#This Row],[_Row]])="",TRUE()),0,IF(OR(INDEX(tsk_IsLeaf,GanttView[[#This Row],[_Row]])&lt;&gt;1,GanttView[[#This Row],[_IsMilestone]],N(GanttView[[#This Row],[%]])&gt;=1),0,IF(GanttView[[#This Row],[_DoneTo]]&gt;0,GanttView[[#This Row],[_DoneTo]]+1,GanttView[[#This Row],[Forecast Start]])))</f>
        <v>0</v>
      </c>
      <c r="R150" s="123" t="n">
        <f aca="false">IF(GanttView[[#This Row],[_RemFrom]]=0,0,GanttView[[#This Row],[Forecast Finish]])</f>
        <v>0</v>
      </c>
      <c r="S150" s="122" t="b">
        <f aca="false">IF(IFERROR(INDEX(tsk_Name,GanttView[[#This Row],[_Row]])="",TRUE()),FALSE(),N(INDEX(tsk_Variance,GanttView[[#This Row],[_Row]]))&gt;0)</f>
        <v>0</v>
      </c>
      <c r="T150" s="123" t="n">
        <f aca="false">IF(IFERROR(INDEX(tsk_Name,GanttView[[#This Row],[_Row]])="",TRUE()),0,N(INDEX(tsk_Deadline,GanttView[[#This Row],[_Row]])))</f>
        <v>0</v>
      </c>
      <c r="U150" s="122"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Row],[_Row]])="",TRUE()),"",INDEX(tsk_ResourceNames,GanttView[[#This Row],[_Row]])&amp;"")</f>
        <v/>
      </c>
      <c r="K151" s="117" t="str">
        <f aca="false">IF(IFERROR(INDEX(tsk_Name,GanttView[[#This Row],[_Row]])="",TRUE()),"",INDEX(tsk_Status,GanttView[[#This Row],[_Row]]))</f>
        <v/>
      </c>
      <c r="L151" s="121" t="n">
        <f aca="false">ROW()-ROW(GanttView[[#Headers],[ID]])</f>
        <v>146</v>
      </c>
      <c r="M151" s="122" t="b">
        <f aca="false">IF(IFERROR(INDEX(tsk_Name,GanttView[[#This Row],[_Row]])="",TRUE()),FALSE(),INDEX(tsk_IsSummary,GanttView[[#This Row],[_Row]]))</f>
        <v>0</v>
      </c>
      <c r="N151" s="122" t="b">
        <f aca="false">IF(IFERROR(INDEX(tsk_Name,GanttView[[#This Row],[_Row]])="",TRUE()),FALSE(),AND(INDEX(tsk_IsLeaf,GanttView[[#This Row],[_Row]])=1,N(INDEX(tsk_Duration,GanttView[[#This Row],[_Row]]))=0))</f>
        <v>0</v>
      </c>
      <c r="O151" s="123" t="n">
        <f aca="false">IF(IFERROR(INDEX(tsk_Name,GanttView[[#This Row],[_Row]])="",TRUE()),0,IF(AND(INDEX(tsk_IsLeaf,GanttView[[#This Row],[_Row]])=1,NOT(GanttView[[#This Row],[_IsMilestone]]),N(GanttView[[#This Row],[%]])&gt;0),GanttView[[#This Row],[Forecast Start]],0))</f>
        <v>0</v>
      </c>
      <c r="P151" s="123" t="n">
        <f aca="false">IF(GanttView[[#This Row],[_DoneFrom]]=0,0,IF(GanttView[[#This Row],[%]]&gt;=1,GanttView[[#This Row],[Forecast Finish]],MAX(GanttView[[#This Row],[_DoneFrom]],GanttView[[#This Row],[Forecast Start]]+ROUND((GanttView[[#This Row],[Forecast Finish]]-GanttView[[#This Row],[Forecast Start]]+1)*GanttView[[#This Row],[%]],0)-1)))</f>
        <v>0</v>
      </c>
      <c r="Q151" s="123" t="n">
        <f aca="false">IF(IFERROR(INDEX(tsk_Name,GanttView[[#This Row],[_Row]])="",TRUE()),0,IF(OR(INDEX(tsk_IsLeaf,GanttView[[#This Row],[_Row]])&lt;&gt;1,GanttView[[#This Row],[_IsMilestone]],N(GanttView[[#This Row],[%]])&gt;=1),0,IF(GanttView[[#This Row],[_DoneTo]]&gt;0,GanttView[[#This Row],[_DoneTo]]+1,GanttView[[#This Row],[Forecast Start]])))</f>
        <v>0</v>
      </c>
      <c r="R151" s="123" t="n">
        <f aca="false">IF(GanttView[[#This Row],[_RemFrom]]=0,0,GanttView[[#This Row],[Forecast Finish]])</f>
        <v>0</v>
      </c>
      <c r="S151" s="122" t="b">
        <f aca="false">IF(IFERROR(INDEX(tsk_Name,GanttView[[#This Row],[_Row]])="",TRUE()),FALSE(),N(INDEX(tsk_Variance,GanttView[[#This Row],[_Row]]))&gt;0)</f>
        <v>0</v>
      </c>
      <c r="T151" s="123" t="n">
        <f aca="false">IF(IFERROR(INDEX(tsk_Name,GanttView[[#This Row],[_Row]])="",TRUE()),0,N(INDEX(tsk_Deadline,GanttView[[#This Row],[_Row]])))</f>
        <v>0</v>
      </c>
      <c r="U151" s="122"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Row],[_Row]])="",TRUE()),"",INDEX(tsk_ResourceNames,GanttView[[#This Row],[_Row]])&amp;"")</f>
        <v/>
      </c>
      <c r="K152" s="117" t="str">
        <f aca="false">IF(IFERROR(INDEX(tsk_Name,GanttView[[#This Row],[_Row]])="",TRUE()),"",INDEX(tsk_Status,GanttView[[#This Row],[_Row]]))</f>
        <v/>
      </c>
      <c r="L152" s="121" t="n">
        <f aca="false">ROW()-ROW(GanttView[[#Headers],[ID]])</f>
        <v>147</v>
      </c>
      <c r="M152" s="122" t="b">
        <f aca="false">IF(IFERROR(INDEX(tsk_Name,GanttView[[#This Row],[_Row]])="",TRUE()),FALSE(),INDEX(tsk_IsSummary,GanttView[[#This Row],[_Row]]))</f>
        <v>0</v>
      </c>
      <c r="N152" s="122" t="b">
        <f aca="false">IF(IFERROR(INDEX(tsk_Name,GanttView[[#This Row],[_Row]])="",TRUE()),FALSE(),AND(INDEX(tsk_IsLeaf,GanttView[[#This Row],[_Row]])=1,N(INDEX(tsk_Duration,GanttView[[#This Row],[_Row]]))=0))</f>
        <v>0</v>
      </c>
      <c r="O152" s="123" t="n">
        <f aca="false">IF(IFERROR(INDEX(tsk_Name,GanttView[[#This Row],[_Row]])="",TRUE()),0,IF(AND(INDEX(tsk_IsLeaf,GanttView[[#This Row],[_Row]])=1,NOT(GanttView[[#This Row],[_IsMilestone]]),N(GanttView[[#This Row],[%]])&gt;0),GanttView[[#This Row],[Forecast Start]],0))</f>
        <v>0</v>
      </c>
      <c r="P152" s="123" t="n">
        <f aca="false">IF(GanttView[[#This Row],[_DoneFrom]]=0,0,IF(GanttView[[#This Row],[%]]&gt;=1,GanttView[[#This Row],[Forecast Finish]],MAX(GanttView[[#This Row],[_DoneFrom]],GanttView[[#This Row],[Forecast Start]]+ROUND((GanttView[[#This Row],[Forecast Finish]]-GanttView[[#This Row],[Forecast Start]]+1)*GanttView[[#This Row],[%]],0)-1)))</f>
        <v>0</v>
      </c>
      <c r="Q152" s="123" t="n">
        <f aca="false">IF(IFERROR(INDEX(tsk_Name,GanttView[[#This Row],[_Row]])="",TRUE()),0,IF(OR(INDEX(tsk_IsLeaf,GanttView[[#This Row],[_Row]])&lt;&gt;1,GanttView[[#This Row],[_IsMilestone]],N(GanttView[[#This Row],[%]])&gt;=1),0,IF(GanttView[[#This Row],[_DoneTo]]&gt;0,GanttView[[#This Row],[_DoneTo]]+1,GanttView[[#This Row],[Forecast Start]])))</f>
        <v>0</v>
      </c>
      <c r="R152" s="123" t="n">
        <f aca="false">IF(GanttView[[#This Row],[_RemFrom]]=0,0,GanttView[[#This Row],[Forecast Finish]])</f>
        <v>0</v>
      </c>
      <c r="S152" s="122" t="b">
        <f aca="false">IF(IFERROR(INDEX(tsk_Name,GanttView[[#This Row],[_Row]])="",TRUE()),FALSE(),N(INDEX(tsk_Variance,GanttView[[#This Row],[_Row]]))&gt;0)</f>
        <v>0</v>
      </c>
      <c r="T152" s="123" t="n">
        <f aca="false">IF(IFERROR(INDEX(tsk_Name,GanttView[[#This Row],[_Row]])="",TRUE()),0,N(INDEX(tsk_Deadline,GanttView[[#This Row],[_Row]])))</f>
        <v>0</v>
      </c>
      <c r="U152" s="122"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Row],[_Row]])="",TRUE()),"",INDEX(tsk_ResourceNames,GanttView[[#This Row],[_Row]])&amp;"")</f>
        <v/>
      </c>
      <c r="K153" s="117" t="str">
        <f aca="false">IF(IFERROR(INDEX(tsk_Name,GanttView[[#This Row],[_Row]])="",TRUE()),"",INDEX(tsk_Status,GanttView[[#This Row],[_Row]]))</f>
        <v/>
      </c>
      <c r="L153" s="121" t="n">
        <f aca="false">ROW()-ROW(GanttView[[#Headers],[ID]])</f>
        <v>148</v>
      </c>
      <c r="M153" s="122" t="b">
        <f aca="false">IF(IFERROR(INDEX(tsk_Name,GanttView[[#This Row],[_Row]])="",TRUE()),FALSE(),INDEX(tsk_IsSummary,GanttView[[#This Row],[_Row]]))</f>
        <v>0</v>
      </c>
      <c r="N153" s="122" t="b">
        <f aca="false">IF(IFERROR(INDEX(tsk_Name,GanttView[[#This Row],[_Row]])="",TRUE()),FALSE(),AND(INDEX(tsk_IsLeaf,GanttView[[#This Row],[_Row]])=1,N(INDEX(tsk_Duration,GanttView[[#This Row],[_Row]]))=0))</f>
        <v>0</v>
      </c>
      <c r="O153" s="123" t="n">
        <f aca="false">IF(IFERROR(INDEX(tsk_Name,GanttView[[#This Row],[_Row]])="",TRUE()),0,IF(AND(INDEX(tsk_IsLeaf,GanttView[[#This Row],[_Row]])=1,NOT(GanttView[[#This Row],[_IsMilestone]]),N(GanttView[[#This Row],[%]])&gt;0),GanttView[[#This Row],[Forecast Start]],0))</f>
        <v>0</v>
      </c>
      <c r="P153" s="123" t="n">
        <f aca="false">IF(GanttView[[#This Row],[_DoneFrom]]=0,0,IF(GanttView[[#This Row],[%]]&gt;=1,GanttView[[#This Row],[Forecast Finish]],MAX(GanttView[[#This Row],[_DoneFrom]],GanttView[[#This Row],[Forecast Start]]+ROUND((GanttView[[#This Row],[Forecast Finish]]-GanttView[[#This Row],[Forecast Start]]+1)*GanttView[[#This Row],[%]],0)-1)))</f>
        <v>0</v>
      </c>
      <c r="Q153" s="123" t="n">
        <f aca="false">IF(IFERROR(INDEX(tsk_Name,GanttView[[#This Row],[_Row]])="",TRUE()),0,IF(OR(INDEX(tsk_IsLeaf,GanttView[[#This Row],[_Row]])&lt;&gt;1,GanttView[[#This Row],[_IsMilestone]],N(GanttView[[#This Row],[%]])&gt;=1),0,IF(GanttView[[#This Row],[_DoneTo]]&gt;0,GanttView[[#This Row],[_DoneTo]]+1,GanttView[[#This Row],[Forecast Start]])))</f>
        <v>0</v>
      </c>
      <c r="R153" s="123" t="n">
        <f aca="false">IF(GanttView[[#This Row],[_RemFrom]]=0,0,GanttView[[#This Row],[Forecast Finish]])</f>
        <v>0</v>
      </c>
      <c r="S153" s="122" t="b">
        <f aca="false">IF(IFERROR(INDEX(tsk_Name,GanttView[[#This Row],[_Row]])="",TRUE()),FALSE(),N(INDEX(tsk_Variance,GanttView[[#This Row],[_Row]]))&gt;0)</f>
        <v>0</v>
      </c>
      <c r="T153" s="123" t="n">
        <f aca="false">IF(IFERROR(INDEX(tsk_Name,GanttView[[#This Row],[_Row]])="",TRUE()),0,N(INDEX(tsk_Deadline,GanttView[[#This Row],[_Row]])))</f>
        <v>0</v>
      </c>
      <c r="U153" s="122"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Row],[_Row]])="",TRUE()),"",INDEX(tsk_ResourceNames,GanttView[[#This Row],[_Row]])&amp;"")</f>
        <v/>
      </c>
      <c r="K154" s="117" t="str">
        <f aca="false">IF(IFERROR(INDEX(tsk_Name,GanttView[[#This Row],[_Row]])="",TRUE()),"",INDEX(tsk_Status,GanttView[[#This Row],[_Row]]))</f>
        <v/>
      </c>
      <c r="L154" s="121" t="n">
        <f aca="false">ROW()-ROW(GanttView[[#Headers],[ID]])</f>
        <v>149</v>
      </c>
      <c r="M154" s="122" t="b">
        <f aca="false">IF(IFERROR(INDEX(tsk_Name,GanttView[[#This Row],[_Row]])="",TRUE()),FALSE(),INDEX(tsk_IsSummary,GanttView[[#This Row],[_Row]]))</f>
        <v>0</v>
      </c>
      <c r="N154" s="122" t="b">
        <f aca="false">IF(IFERROR(INDEX(tsk_Name,GanttView[[#This Row],[_Row]])="",TRUE()),FALSE(),AND(INDEX(tsk_IsLeaf,GanttView[[#This Row],[_Row]])=1,N(INDEX(tsk_Duration,GanttView[[#This Row],[_Row]]))=0))</f>
        <v>0</v>
      </c>
      <c r="O154" s="123" t="n">
        <f aca="false">IF(IFERROR(INDEX(tsk_Name,GanttView[[#This Row],[_Row]])="",TRUE()),0,IF(AND(INDEX(tsk_IsLeaf,GanttView[[#This Row],[_Row]])=1,NOT(GanttView[[#This Row],[_IsMilestone]]),N(GanttView[[#This Row],[%]])&gt;0),GanttView[[#This Row],[Forecast Start]],0))</f>
        <v>0</v>
      </c>
      <c r="P154" s="123" t="n">
        <f aca="false">IF(GanttView[[#This Row],[_DoneFrom]]=0,0,IF(GanttView[[#This Row],[%]]&gt;=1,GanttView[[#This Row],[Forecast Finish]],MAX(GanttView[[#This Row],[_DoneFrom]],GanttView[[#This Row],[Forecast Start]]+ROUND((GanttView[[#This Row],[Forecast Finish]]-GanttView[[#This Row],[Forecast Start]]+1)*GanttView[[#This Row],[%]],0)-1)))</f>
        <v>0</v>
      </c>
      <c r="Q154" s="123" t="n">
        <f aca="false">IF(IFERROR(INDEX(tsk_Name,GanttView[[#This Row],[_Row]])="",TRUE()),0,IF(OR(INDEX(tsk_IsLeaf,GanttView[[#This Row],[_Row]])&lt;&gt;1,GanttView[[#This Row],[_IsMilestone]],N(GanttView[[#This Row],[%]])&gt;=1),0,IF(GanttView[[#This Row],[_DoneTo]]&gt;0,GanttView[[#This Row],[_DoneTo]]+1,GanttView[[#This Row],[Forecast Start]])))</f>
        <v>0</v>
      </c>
      <c r="R154" s="123" t="n">
        <f aca="false">IF(GanttView[[#This Row],[_RemFrom]]=0,0,GanttView[[#This Row],[Forecast Finish]])</f>
        <v>0</v>
      </c>
      <c r="S154" s="122" t="b">
        <f aca="false">IF(IFERROR(INDEX(tsk_Name,GanttView[[#This Row],[_Row]])="",TRUE()),FALSE(),N(INDEX(tsk_Variance,GanttView[[#This Row],[_Row]]))&gt;0)</f>
        <v>0</v>
      </c>
      <c r="T154" s="123" t="n">
        <f aca="false">IF(IFERROR(INDEX(tsk_Name,GanttView[[#This Row],[_Row]])="",TRUE()),0,N(INDEX(tsk_Deadline,GanttView[[#This Row],[_Row]])))</f>
        <v>0</v>
      </c>
      <c r="U154" s="122"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Row],[_Row]])="",TRUE()),"",INDEX(tsk_ResourceNames,GanttView[[#This Row],[_Row]])&amp;"")</f>
        <v/>
      </c>
      <c r="K155" s="117" t="str">
        <f aca="false">IF(IFERROR(INDEX(tsk_Name,GanttView[[#This Row],[_Row]])="",TRUE()),"",INDEX(tsk_Status,GanttView[[#This Row],[_Row]]))</f>
        <v/>
      </c>
      <c r="L155" s="121" t="n">
        <f aca="false">ROW()-ROW(GanttView[[#Headers],[ID]])</f>
        <v>150</v>
      </c>
      <c r="M155" s="122" t="b">
        <f aca="false">IF(IFERROR(INDEX(tsk_Name,GanttView[[#This Row],[_Row]])="",TRUE()),FALSE(),INDEX(tsk_IsSummary,GanttView[[#This Row],[_Row]]))</f>
        <v>0</v>
      </c>
      <c r="N155" s="122" t="b">
        <f aca="false">IF(IFERROR(INDEX(tsk_Name,GanttView[[#This Row],[_Row]])="",TRUE()),FALSE(),AND(INDEX(tsk_IsLeaf,GanttView[[#This Row],[_Row]])=1,N(INDEX(tsk_Duration,GanttView[[#This Row],[_Row]]))=0))</f>
        <v>0</v>
      </c>
      <c r="O155" s="123" t="n">
        <f aca="false">IF(IFERROR(INDEX(tsk_Name,GanttView[[#This Row],[_Row]])="",TRUE()),0,IF(AND(INDEX(tsk_IsLeaf,GanttView[[#This Row],[_Row]])=1,NOT(GanttView[[#This Row],[_IsMilestone]]),N(GanttView[[#This Row],[%]])&gt;0),GanttView[[#This Row],[Forecast Start]],0))</f>
        <v>0</v>
      </c>
      <c r="P155" s="123" t="n">
        <f aca="false">IF(GanttView[[#This Row],[_DoneFrom]]=0,0,IF(GanttView[[#This Row],[%]]&gt;=1,GanttView[[#This Row],[Forecast Finish]],MAX(GanttView[[#This Row],[_DoneFrom]],GanttView[[#This Row],[Forecast Start]]+ROUND((GanttView[[#This Row],[Forecast Finish]]-GanttView[[#This Row],[Forecast Start]]+1)*GanttView[[#This Row],[%]],0)-1)))</f>
        <v>0</v>
      </c>
      <c r="Q155" s="123" t="n">
        <f aca="false">IF(IFERROR(INDEX(tsk_Name,GanttView[[#This Row],[_Row]])="",TRUE()),0,IF(OR(INDEX(tsk_IsLeaf,GanttView[[#This Row],[_Row]])&lt;&gt;1,GanttView[[#This Row],[_IsMilestone]],N(GanttView[[#This Row],[%]])&gt;=1),0,IF(GanttView[[#This Row],[_DoneTo]]&gt;0,GanttView[[#This Row],[_DoneTo]]+1,GanttView[[#This Row],[Forecast Start]])))</f>
        <v>0</v>
      </c>
      <c r="R155" s="123" t="n">
        <f aca="false">IF(GanttView[[#This Row],[_RemFrom]]=0,0,GanttView[[#This Row],[Forecast Finish]])</f>
        <v>0</v>
      </c>
      <c r="S155" s="122" t="b">
        <f aca="false">IF(IFERROR(INDEX(tsk_Name,GanttView[[#This Row],[_Row]])="",TRUE()),FALSE(),N(INDEX(tsk_Variance,GanttView[[#This Row],[_Row]]))&gt;0)</f>
        <v>0</v>
      </c>
      <c r="T155" s="123" t="n">
        <f aca="false">IF(IFERROR(INDEX(tsk_Name,GanttView[[#This Row],[_Row]])="",TRUE()),0,N(INDEX(tsk_Deadline,GanttView[[#This Row],[_Row]])))</f>
        <v>0</v>
      </c>
      <c r="U155" s="122"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Row],[_Row]])="",TRUE()),"",INDEX(tsk_ResourceNames,GanttView[[#This Row],[_Row]])&amp;"")</f>
        <v/>
      </c>
      <c r="K156" s="117" t="str">
        <f aca="false">IF(IFERROR(INDEX(tsk_Name,GanttView[[#This Row],[_Row]])="",TRUE()),"",INDEX(tsk_Status,GanttView[[#This Row],[_Row]]))</f>
        <v/>
      </c>
      <c r="L156" s="121" t="n">
        <f aca="false">ROW()-ROW(GanttView[[#Headers],[ID]])</f>
        <v>151</v>
      </c>
      <c r="M156" s="122" t="b">
        <f aca="false">IF(IFERROR(INDEX(tsk_Name,GanttView[[#This Row],[_Row]])="",TRUE()),FALSE(),INDEX(tsk_IsSummary,GanttView[[#This Row],[_Row]]))</f>
        <v>0</v>
      </c>
      <c r="N156" s="122" t="b">
        <f aca="false">IF(IFERROR(INDEX(tsk_Name,GanttView[[#This Row],[_Row]])="",TRUE()),FALSE(),AND(INDEX(tsk_IsLeaf,GanttView[[#This Row],[_Row]])=1,N(INDEX(tsk_Duration,GanttView[[#This Row],[_Row]]))=0))</f>
        <v>0</v>
      </c>
      <c r="O156" s="123" t="n">
        <f aca="false">IF(IFERROR(INDEX(tsk_Name,GanttView[[#This Row],[_Row]])="",TRUE()),0,IF(AND(INDEX(tsk_IsLeaf,GanttView[[#This Row],[_Row]])=1,NOT(GanttView[[#This Row],[_IsMilestone]]),N(GanttView[[#This Row],[%]])&gt;0),GanttView[[#This Row],[Forecast Start]],0))</f>
        <v>0</v>
      </c>
      <c r="P156" s="123" t="n">
        <f aca="false">IF(GanttView[[#This Row],[_DoneFrom]]=0,0,IF(GanttView[[#This Row],[%]]&gt;=1,GanttView[[#This Row],[Forecast Finish]],MAX(GanttView[[#This Row],[_DoneFrom]],GanttView[[#This Row],[Forecast Start]]+ROUND((GanttView[[#This Row],[Forecast Finish]]-GanttView[[#This Row],[Forecast Start]]+1)*GanttView[[#This Row],[%]],0)-1)))</f>
        <v>0</v>
      </c>
      <c r="Q156" s="123" t="n">
        <f aca="false">IF(IFERROR(INDEX(tsk_Name,GanttView[[#This Row],[_Row]])="",TRUE()),0,IF(OR(INDEX(tsk_IsLeaf,GanttView[[#This Row],[_Row]])&lt;&gt;1,GanttView[[#This Row],[_IsMilestone]],N(GanttView[[#This Row],[%]])&gt;=1),0,IF(GanttView[[#This Row],[_DoneTo]]&gt;0,GanttView[[#This Row],[_DoneTo]]+1,GanttView[[#This Row],[Forecast Start]])))</f>
        <v>0</v>
      </c>
      <c r="R156" s="123" t="n">
        <f aca="false">IF(GanttView[[#This Row],[_RemFrom]]=0,0,GanttView[[#This Row],[Forecast Finish]])</f>
        <v>0</v>
      </c>
      <c r="S156" s="122" t="b">
        <f aca="false">IF(IFERROR(INDEX(tsk_Name,GanttView[[#This Row],[_Row]])="",TRUE()),FALSE(),N(INDEX(tsk_Variance,GanttView[[#This Row],[_Row]]))&gt;0)</f>
        <v>0</v>
      </c>
      <c r="T156" s="123" t="n">
        <f aca="false">IF(IFERROR(INDEX(tsk_Name,GanttView[[#This Row],[_Row]])="",TRUE()),0,N(INDEX(tsk_Deadline,GanttView[[#This Row],[_Row]])))</f>
        <v>0</v>
      </c>
      <c r="U156" s="122"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Row],[_Row]])="",TRUE()),"",INDEX(tsk_ResourceNames,GanttView[[#This Row],[_Row]])&amp;"")</f>
        <v/>
      </c>
      <c r="K157" s="117" t="str">
        <f aca="false">IF(IFERROR(INDEX(tsk_Name,GanttView[[#This Row],[_Row]])="",TRUE()),"",INDEX(tsk_Status,GanttView[[#This Row],[_Row]]))</f>
        <v/>
      </c>
      <c r="L157" s="121" t="n">
        <f aca="false">ROW()-ROW(GanttView[[#Headers],[ID]])</f>
        <v>152</v>
      </c>
      <c r="M157" s="122" t="b">
        <f aca="false">IF(IFERROR(INDEX(tsk_Name,GanttView[[#This Row],[_Row]])="",TRUE()),FALSE(),INDEX(tsk_IsSummary,GanttView[[#This Row],[_Row]]))</f>
        <v>0</v>
      </c>
      <c r="N157" s="122" t="b">
        <f aca="false">IF(IFERROR(INDEX(tsk_Name,GanttView[[#This Row],[_Row]])="",TRUE()),FALSE(),AND(INDEX(tsk_IsLeaf,GanttView[[#This Row],[_Row]])=1,N(INDEX(tsk_Duration,GanttView[[#This Row],[_Row]]))=0))</f>
        <v>0</v>
      </c>
      <c r="O157" s="123" t="n">
        <f aca="false">IF(IFERROR(INDEX(tsk_Name,GanttView[[#This Row],[_Row]])="",TRUE()),0,IF(AND(INDEX(tsk_IsLeaf,GanttView[[#This Row],[_Row]])=1,NOT(GanttView[[#This Row],[_IsMilestone]]),N(GanttView[[#This Row],[%]])&gt;0),GanttView[[#This Row],[Forecast Start]],0))</f>
        <v>0</v>
      </c>
      <c r="P157" s="123" t="n">
        <f aca="false">IF(GanttView[[#This Row],[_DoneFrom]]=0,0,IF(GanttView[[#This Row],[%]]&gt;=1,GanttView[[#This Row],[Forecast Finish]],MAX(GanttView[[#This Row],[_DoneFrom]],GanttView[[#This Row],[Forecast Start]]+ROUND((GanttView[[#This Row],[Forecast Finish]]-GanttView[[#This Row],[Forecast Start]]+1)*GanttView[[#This Row],[%]],0)-1)))</f>
        <v>0</v>
      </c>
      <c r="Q157" s="123" t="n">
        <f aca="false">IF(IFERROR(INDEX(tsk_Name,GanttView[[#This Row],[_Row]])="",TRUE()),0,IF(OR(INDEX(tsk_IsLeaf,GanttView[[#This Row],[_Row]])&lt;&gt;1,GanttView[[#This Row],[_IsMilestone]],N(GanttView[[#This Row],[%]])&gt;=1),0,IF(GanttView[[#This Row],[_DoneTo]]&gt;0,GanttView[[#This Row],[_DoneTo]]+1,GanttView[[#This Row],[Forecast Start]])))</f>
        <v>0</v>
      </c>
      <c r="R157" s="123" t="n">
        <f aca="false">IF(GanttView[[#This Row],[_RemFrom]]=0,0,GanttView[[#This Row],[Forecast Finish]])</f>
        <v>0</v>
      </c>
      <c r="S157" s="122" t="b">
        <f aca="false">IF(IFERROR(INDEX(tsk_Name,GanttView[[#This Row],[_Row]])="",TRUE()),FALSE(),N(INDEX(tsk_Variance,GanttView[[#This Row],[_Row]]))&gt;0)</f>
        <v>0</v>
      </c>
      <c r="T157" s="123" t="n">
        <f aca="false">IF(IFERROR(INDEX(tsk_Name,GanttView[[#This Row],[_Row]])="",TRUE()),0,N(INDEX(tsk_Deadline,GanttView[[#This Row],[_Row]])))</f>
        <v>0</v>
      </c>
      <c r="U157" s="122"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Row],[_Row]])="",TRUE()),"",INDEX(tsk_ResourceNames,GanttView[[#This Row],[_Row]])&amp;"")</f>
        <v/>
      </c>
      <c r="K158" s="117" t="str">
        <f aca="false">IF(IFERROR(INDEX(tsk_Name,GanttView[[#This Row],[_Row]])="",TRUE()),"",INDEX(tsk_Status,GanttView[[#This Row],[_Row]]))</f>
        <v/>
      </c>
      <c r="L158" s="121" t="n">
        <f aca="false">ROW()-ROW(GanttView[[#Headers],[ID]])</f>
        <v>153</v>
      </c>
      <c r="M158" s="122" t="b">
        <f aca="false">IF(IFERROR(INDEX(tsk_Name,GanttView[[#This Row],[_Row]])="",TRUE()),FALSE(),INDEX(tsk_IsSummary,GanttView[[#This Row],[_Row]]))</f>
        <v>0</v>
      </c>
      <c r="N158" s="122" t="b">
        <f aca="false">IF(IFERROR(INDEX(tsk_Name,GanttView[[#This Row],[_Row]])="",TRUE()),FALSE(),AND(INDEX(tsk_IsLeaf,GanttView[[#This Row],[_Row]])=1,N(INDEX(tsk_Duration,GanttView[[#This Row],[_Row]]))=0))</f>
        <v>0</v>
      </c>
      <c r="O158" s="123" t="n">
        <f aca="false">IF(IFERROR(INDEX(tsk_Name,GanttView[[#This Row],[_Row]])="",TRUE()),0,IF(AND(INDEX(tsk_IsLeaf,GanttView[[#This Row],[_Row]])=1,NOT(GanttView[[#This Row],[_IsMilestone]]),N(GanttView[[#This Row],[%]])&gt;0),GanttView[[#This Row],[Forecast Start]],0))</f>
        <v>0</v>
      </c>
      <c r="P158" s="123" t="n">
        <f aca="false">IF(GanttView[[#This Row],[_DoneFrom]]=0,0,IF(GanttView[[#This Row],[%]]&gt;=1,GanttView[[#This Row],[Forecast Finish]],MAX(GanttView[[#This Row],[_DoneFrom]],GanttView[[#This Row],[Forecast Start]]+ROUND((GanttView[[#This Row],[Forecast Finish]]-GanttView[[#This Row],[Forecast Start]]+1)*GanttView[[#This Row],[%]],0)-1)))</f>
        <v>0</v>
      </c>
      <c r="Q158" s="123" t="n">
        <f aca="false">IF(IFERROR(INDEX(tsk_Name,GanttView[[#This Row],[_Row]])="",TRUE()),0,IF(OR(INDEX(tsk_IsLeaf,GanttView[[#This Row],[_Row]])&lt;&gt;1,GanttView[[#This Row],[_IsMilestone]],N(GanttView[[#This Row],[%]])&gt;=1),0,IF(GanttView[[#This Row],[_DoneTo]]&gt;0,GanttView[[#This Row],[_DoneTo]]+1,GanttView[[#This Row],[Forecast Start]])))</f>
        <v>0</v>
      </c>
      <c r="R158" s="123" t="n">
        <f aca="false">IF(GanttView[[#This Row],[_RemFrom]]=0,0,GanttView[[#This Row],[Forecast Finish]])</f>
        <v>0</v>
      </c>
      <c r="S158" s="122" t="b">
        <f aca="false">IF(IFERROR(INDEX(tsk_Name,GanttView[[#This Row],[_Row]])="",TRUE()),FALSE(),N(INDEX(tsk_Variance,GanttView[[#This Row],[_Row]]))&gt;0)</f>
        <v>0</v>
      </c>
      <c r="T158" s="123" t="n">
        <f aca="false">IF(IFERROR(INDEX(tsk_Name,GanttView[[#This Row],[_Row]])="",TRUE()),0,N(INDEX(tsk_Deadline,GanttView[[#This Row],[_Row]])))</f>
        <v>0</v>
      </c>
      <c r="U158" s="122"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Row],[_Row]])="",TRUE()),"",INDEX(tsk_ResourceNames,GanttView[[#This Row],[_Row]])&amp;"")</f>
        <v/>
      </c>
      <c r="K159" s="117" t="str">
        <f aca="false">IF(IFERROR(INDEX(tsk_Name,GanttView[[#This Row],[_Row]])="",TRUE()),"",INDEX(tsk_Status,GanttView[[#This Row],[_Row]]))</f>
        <v/>
      </c>
      <c r="L159" s="121" t="n">
        <f aca="false">ROW()-ROW(GanttView[[#Headers],[ID]])</f>
        <v>154</v>
      </c>
      <c r="M159" s="122" t="b">
        <f aca="false">IF(IFERROR(INDEX(tsk_Name,GanttView[[#This Row],[_Row]])="",TRUE()),FALSE(),INDEX(tsk_IsSummary,GanttView[[#This Row],[_Row]]))</f>
        <v>0</v>
      </c>
      <c r="N159" s="122" t="b">
        <f aca="false">IF(IFERROR(INDEX(tsk_Name,GanttView[[#This Row],[_Row]])="",TRUE()),FALSE(),AND(INDEX(tsk_IsLeaf,GanttView[[#This Row],[_Row]])=1,N(INDEX(tsk_Duration,GanttView[[#This Row],[_Row]]))=0))</f>
        <v>0</v>
      </c>
      <c r="O159" s="123" t="n">
        <f aca="false">IF(IFERROR(INDEX(tsk_Name,GanttView[[#This Row],[_Row]])="",TRUE()),0,IF(AND(INDEX(tsk_IsLeaf,GanttView[[#This Row],[_Row]])=1,NOT(GanttView[[#This Row],[_IsMilestone]]),N(GanttView[[#This Row],[%]])&gt;0),GanttView[[#This Row],[Forecast Start]],0))</f>
        <v>0</v>
      </c>
      <c r="P159" s="123" t="n">
        <f aca="false">IF(GanttView[[#This Row],[_DoneFrom]]=0,0,IF(GanttView[[#This Row],[%]]&gt;=1,GanttView[[#This Row],[Forecast Finish]],MAX(GanttView[[#This Row],[_DoneFrom]],GanttView[[#This Row],[Forecast Start]]+ROUND((GanttView[[#This Row],[Forecast Finish]]-GanttView[[#This Row],[Forecast Start]]+1)*GanttView[[#This Row],[%]],0)-1)))</f>
        <v>0</v>
      </c>
      <c r="Q159" s="123" t="n">
        <f aca="false">IF(IFERROR(INDEX(tsk_Name,GanttView[[#This Row],[_Row]])="",TRUE()),0,IF(OR(INDEX(tsk_IsLeaf,GanttView[[#This Row],[_Row]])&lt;&gt;1,GanttView[[#This Row],[_IsMilestone]],N(GanttView[[#This Row],[%]])&gt;=1),0,IF(GanttView[[#This Row],[_DoneTo]]&gt;0,GanttView[[#This Row],[_DoneTo]]+1,GanttView[[#This Row],[Forecast Start]])))</f>
        <v>0</v>
      </c>
      <c r="R159" s="123" t="n">
        <f aca="false">IF(GanttView[[#This Row],[_RemFrom]]=0,0,GanttView[[#This Row],[Forecast Finish]])</f>
        <v>0</v>
      </c>
      <c r="S159" s="122" t="b">
        <f aca="false">IF(IFERROR(INDEX(tsk_Name,GanttView[[#This Row],[_Row]])="",TRUE()),FALSE(),N(INDEX(tsk_Variance,GanttView[[#This Row],[_Row]]))&gt;0)</f>
        <v>0</v>
      </c>
      <c r="T159" s="123" t="n">
        <f aca="false">IF(IFERROR(INDEX(tsk_Name,GanttView[[#This Row],[_Row]])="",TRUE()),0,N(INDEX(tsk_Deadline,GanttView[[#This Row],[_Row]])))</f>
        <v>0</v>
      </c>
      <c r="U159" s="122"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Row],[_Row]])="",TRUE()),"",INDEX(tsk_ResourceNames,GanttView[[#This Row],[_Row]])&amp;"")</f>
        <v/>
      </c>
      <c r="K160" s="117" t="str">
        <f aca="false">IF(IFERROR(INDEX(tsk_Name,GanttView[[#This Row],[_Row]])="",TRUE()),"",INDEX(tsk_Status,GanttView[[#This Row],[_Row]]))</f>
        <v/>
      </c>
      <c r="L160" s="121" t="n">
        <f aca="false">ROW()-ROW(GanttView[[#Headers],[ID]])</f>
        <v>155</v>
      </c>
      <c r="M160" s="122" t="b">
        <f aca="false">IF(IFERROR(INDEX(tsk_Name,GanttView[[#This Row],[_Row]])="",TRUE()),FALSE(),INDEX(tsk_IsSummary,GanttView[[#This Row],[_Row]]))</f>
        <v>0</v>
      </c>
      <c r="N160" s="122" t="b">
        <f aca="false">IF(IFERROR(INDEX(tsk_Name,GanttView[[#This Row],[_Row]])="",TRUE()),FALSE(),AND(INDEX(tsk_IsLeaf,GanttView[[#This Row],[_Row]])=1,N(INDEX(tsk_Duration,GanttView[[#This Row],[_Row]]))=0))</f>
        <v>0</v>
      </c>
      <c r="O160" s="123" t="n">
        <f aca="false">IF(IFERROR(INDEX(tsk_Name,GanttView[[#This Row],[_Row]])="",TRUE()),0,IF(AND(INDEX(tsk_IsLeaf,GanttView[[#This Row],[_Row]])=1,NOT(GanttView[[#This Row],[_IsMilestone]]),N(GanttView[[#This Row],[%]])&gt;0),GanttView[[#This Row],[Forecast Start]],0))</f>
        <v>0</v>
      </c>
      <c r="P160" s="123" t="n">
        <f aca="false">IF(GanttView[[#This Row],[_DoneFrom]]=0,0,IF(GanttView[[#This Row],[%]]&gt;=1,GanttView[[#This Row],[Forecast Finish]],MAX(GanttView[[#This Row],[_DoneFrom]],GanttView[[#This Row],[Forecast Start]]+ROUND((GanttView[[#This Row],[Forecast Finish]]-GanttView[[#This Row],[Forecast Start]]+1)*GanttView[[#This Row],[%]],0)-1)))</f>
        <v>0</v>
      </c>
      <c r="Q160" s="123" t="n">
        <f aca="false">IF(IFERROR(INDEX(tsk_Name,GanttView[[#This Row],[_Row]])="",TRUE()),0,IF(OR(INDEX(tsk_IsLeaf,GanttView[[#This Row],[_Row]])&lt;&gt;1,GanttView[[#This Row],[_IsMilestone]],N(GanttView[[#This Row],[%]])&gt;=1),0,IF(GanttView[[#This Row],[_DoneTo]]&gt;0,GanttView[[#This Row],[_DoneTo]]+1,GanttView[[#This Row],[Forecast Start]])))</f>
        <v>0</v>
      </c>
      <c r="R160" s="123" t="n">
        <f aca="false">IF(GanttView[[#This Row],[_RemFrom]]=0,0,GanttView[[#This Row],[Forecast Finish]])</f>
        <v>0</v>
      </c>
      <c r="S160" s="122" t="b">
        <f aca="false">IF(IFERROR(INDEX(tsk_Name,GanttView[[#This Row],[_Row]])="",TRUE()),FALSE(),N(INDEX(tsk_Variance,GanttView[[#This Row],[_Row]]))&gt;0)</f>
        <v>0</v>
      </c>
      <c r="T160" s="123" t="n">
        <f aca="false">IF(IFERROR(INDEX(tsk_Name,GanttView[[#This Row],[_Row]])="",TRUE()),0,N(INDEX(tsk_Deadline,GanttView[[#This Row],[_Row]])))</f>
        <v>0</v>
      </c>
      <c r="U160" s="122"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Row],[_Row]])="",TRUE()),"",INDEX(tsk_ResourceNames,GanttView[[#This Row],[_Row]])&amp;"")</f>
        <v/>
      </c>
      <c r="K161" s="117" t="str">
        <f aca="false">IF(IFERROR(INDEX(tsk_Name,GanttView[[#This Row],[_Row]])="",TRUE()),"",INDEX(tsk_Status,GanttView[[#This Row],[_Row]]))</f>
        <v/>
      </c>
      <c r="L161" s="121" t="n">
        <f aca="false">ROW()-ROW(GanttView[[#Headers],[ID]])</f>
        <v>156</v>
      </c>
      <c r="M161" s="122" t="b">
        <f aca="false">IF(IFERROR(INDEX(tsk_Name,GanttView[[#This Row],[_Row]])="",TRUE()),FALSE(),INDEX(tsk_IsSummary,GanttView[[#This Row],[_Row]]))</f>
        <v>0</v>
      </c>
      <c r="N161" s="122" t="b">
        <f aca="false">IF(IFERROR(INDEX(tsk_Name,GanttView[[#This Row],[_Row]])="",TRUE()),FALSE(),AND(INDEX(tsk_IsLeaf,GanttView[[#This Row],[_Row]])=1,N(INDEX(tsk_Duration,GanttView[[#This Row],[_Row]]))=0))</f>
        <v>0</v>
      </c>
      <c r="O161" s="123" t="n">
        <f aca="false">IF(IFERROR(INDEX(tsk_Name,GanttView[[#This Row],[_Row]])="",TRUE()),0,IF(AND(INDEX(tsk_IsLeaf,GanttView[[#This Row],[_Row]])=1,NOT(GanttView[[#This Row],[_IsMilestone]]),N(GanttView[[#This Row],[%]])&gt;0),GanttView[[#This Row],[Forecast Start]],0))</f>
        <v>0</v>
      </c>
      <c r="P161" s="123" t="n">
        <f aca="false">IF(GanttView[[#This Row],[_DoneFrom]]=0,0,IF(GanttView[[#This Row],[%]]&gt;=1,GanttView[[#This Row],[Forecast Finish]],MAX(GanttView[[#This Row],[_DoneFrom]],GanttView[[#This Row],[Forecast Start]]+ROUND((GanttView[[#This Row],[Forecast Finish]]-GanttView[[#This Row],[Forecast Start]]+1)*GanttView[[#This Row],[%]],0)-1)))</f>
        <v>0</v>
      </c>
      <c r="Q161" s="123" t="n">
        <f aca="false">IF(IFERROR(INDEX(tsk_Name,GanttView[[#This Row],[_Row]])="",TRUE()),0,IF(OR(INDEX(tsk_IsLeaf,GanttView[[#This Row],[_Row]])&lt;&gt;1,GanttView[[#This Row],[_IsMilestone]],N(GanttView[[#This Row],[%]])&gt;=1),0,IF(GanttView[[#This Row],[_DoneTo]]&gt;0,GanttView[[#This Row],[_DoneTo]]+1,GanttView[[#This Row],[Forecast Start]])))</f>
        <v>0</v>
      </c>
      <c r="R161" s="123" t="n">
        <f aca="false">IF(GanttView[[#This Row],[_RemFrom]]=0,0,GanttView[[#This Row],[Forecast Finish]])</f>
        <v>0</v>
      </c>
      <c r="S161" s="122" t="b">
        <f aca="false">IF(IFERROR(INDEX(tsk_Name,GanttView[[#This Row],[_Row]])="",TRUE()),FALSE(),N(INDEX(tsk_Variance,GanttView[[#This Row],[_Row]]))&gt;0)</f>
        <v>0</v>
      </c>
      <c r="T161" s="123" t="n">
        <f aca="false">IF(IFERROR(INDEX(tsk_Name,GanttView[[#This Row],[_Row]])="",TRUE()),0,N(INDEX(tsk_Deadline,GanttView[[#This Row],[_Row]])))</f>
        <v>0</v>
      </c>
      <c r="U161" s="122"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Row],[_Row]])="",TRUE()),"",INDEX(tsk_ResourceNames,GanttView[[#This Row],[_Row]])&amp;"")</f>
        <v/>
      </c>
      <c r="K162" s="117" t="str">
        <f aca="false">IF(IFERROR(INDEX(tsk_Name,GanttView[[#This Row],[_Row]])="",TRUE()),"",INDEX(tsk_Status,GanttView[[#This Row],[_Row]]))</f>
        <v/>
      </c>
      <c r="L162" s="121" t="n">
        <f aca="false">ROW()-ROW(GanttView[[#Headers],[ID]])</f>
        <v>157</v>
      </c>
      <c r="M162" s="122" t="b">
        <f aca="false">IF(IFERROR(INDEX(tsk_Name,GanttView[[#This Row],[_Row]])="",TRUE()),FALSE(),INDEX(tsk_IsSummary,GanttView[[#This Row],[_Row]]))</f>
        <v>0</v>
      </c>
      <c r="N162" s="122" t="b">
        <f aca="false">IF(IFERROR(INDEX(tsk_Name,GanttView[[#This Row],[_Row]])="",TRUE()),FALSE(),AND(INDEX(tsk_IsLeaf,GanttView[[#This Row],[_Row]])=1,N(INDEX(tsk_Duration,GanttView[[#This Row],[_Row]]))=0))</f>
        <v>0</v>
      </c>
      <c r="O162" s="123" t="n">
        <f aca="false">IF(IFERROR(INDEX(tsk_Name,GanttView[[#This Row],[_Row]])="",TRUE()),0,IF(AND(INDEX(tsk_IsLeaf,GanttView[[#This Row],[_Row]])=1,NOT(GanttView[[#This Row],[_IsMilestone]]),N(GanttView[[#This Row],[%]])&gt;0),GanttView[[#This Row],[Forecast Start]],0))</f>
        <v>0</v>
      </c>
      <c r="P162" s="123" t="n">
        <f aca="false">IF(GanttView[[#This Row],[_DoneFrom]]=0,0,IF(GanttView[[#This Row],[%]]&gt;=1,GanttView[[#This Row],[Forecast Finish]],MAX(GanttView[[#This Row],[_DoneFrom]],GanttView[[#This Row],[Forecast Start]]+ROUND((GanttView[[#This Row],[Forecast Finish]]-GanttView[[#This Row],[Forecast Start]]+1)*GanttView[[#This Row],[%]],0)-1)))</f>
        <v>0</v>
      </c>
      <c r="Q162" s="123" t="n">
        <f aca="false">IF(IFERROR(INDEX(tsk_Name,GanttView[[#This Row],[_Row]])="",TRUE()),0,IF(OR(INDEX(tsk_IsLeaf,GanttView[[#This Row],[_Row]])&lt;&gt;1,GanttView[[#This Row],[_IsMilestone]],N(GanttView[[#This Row],[%]])&gt;=1),0,IF(GanttView[[#This Row],[_DoneTo]]&gt;0,GanttView[[#This Row],[_DoneTo]]+1,GanttView[[#This Row],[Forecast Start]])))</f>
        <v>0</v>
      </c>
      <c r="R162" s="123" t="n">
        <f aca="false">IF(GanttView[[#This Row],[_RemFrom]]=0,0,GanttView[[#This Row],[Forecast Finish]])</f>
        <v>0</v>
      </c>
      <c r="S162" s="122" t="b">
        <f aca="false">IF(IFERROR(INDEX(tsk_Name,GanttView[[#This Row],[_Row]])="",TRUE()),FALSE(),N(INDEX(tsk_Variance,GanttView[[#This Row],[_Row]]))&gt;0)</f>
        <v>0</v>
      </c>
      <c r="T162" s="123" t="n">
        <f aca="false">IF(IFERROR(INDEX(tsk_Name,GanttView[[#This Row],[_Row]])="",TRUE()),0,N(INDEX(tsk_Deadline,GanttView[[#This Row],[_Row]])))</f>
        <v>0</v>
      </c>
      <c r="U162" s="122"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Row],[_Row]])="",TRUE()),"",INDEX(tsk_ResourceNames,GanttView[[#This Row],[_Row]])&amp;"")</f>
        <v/>
      </c>
      <c r="K163" s="117" t="str">
        <f aca="false">IF(IFERROR(INDEX(tsk_Name,GanttView[[#This Row],[_Row]])="",TRUE()),"",INDEX(tsk_Status,GanttView[[#This Row],[_Row]]))</f>
        <v/>
      </c>
      <c r="L163" s="121" t="n">
        <f aca="false">ROW()-ROW(GanttView[[#Headers],[ID]])</f>
        <v>158</v>
      </c>
      <c r="M163" s="122" t="b">
        <f aca="false">IF(IFERROR(INDEX(tsk_Name,GanttView[[#This Row],[_Row]])="",TRUE()),FALSE(),INDEX(tsk_IsSummary,GanttView[[#This Row],[_Row]]))</f>
        <v>0</v>
      </c>
      <c r="N163" s="122" t="b">
        <f aca="false">IF(IFERROR(INDEX(tsk_Name,GanttView[[#This Row],[_Row]])="",TRUE()),FALSE(),AND(INDEX(tsk_IsLeaf,GanttView[[#This Row],[_Row]])=1,N(INDEX(tsk_Duration,GanttView[[#This Row],[_Row]]))=0))</f>
        <v>0</v>
      </c>
      <c r="O163" s="123" t="n">
        <f aca="false">IF(IFERROR(INDEX(tsk_Name,GanttView[[#This Row],[_Row]])="",TRUE()),0,IF(AND(INDEX(tsk_IsLeaf,GanttView[[#This Row],[_Row]])=1,NOT(GanttView[[#This Row],[_IsMilestone]]),N(GanttView[[#This Row],[%]])&gt;0),GanttView[[#This Row],[Forecast Start]],0))</f>
        <v>0</v>
      </c>
      <c r="P163" s="123" t="n">
        <f aca="false">IF(GanttView[[#This Row],[_DoneFrom]]=0,0,IF(GanttView[[#This Row],[%]]&gt;=1,GanttView[[#This Row],[Forecast Finish]],MAX(GanttView[[#This Row],[_DoneFrom]],GanttView[[#This Row],[Forecast Start]]+ROUND((GanttView[[#This Row],[Forecast Finish]]-GanttView[[#This Row],[Forecast Start]]+1)*GanttView[[#This Row],[%]],0)-1)))</f>
        <v>0</v>
      </c>
      <c r="Q163" s="123" t="n">
        <f aca="false">IF(IFERROR(INDEX(tsk_Name,GanttView[[#This Row],[_Row]])="",TRUE()),0,IF(OR(INDEX(tsk_IsLeaf,GanttView[[#This Row],[_Row]])&lt;&gt;1,GanttView[[#This Row],[_IsMilestone]],N(GanttView[[#This Row],[%]])&gt;=1),0,IF(GanttView[[#This Row],[_DoneTo]]&gt;0,GanttView[[#This Row],[_DoneTo]]+1,GanttView[[#This Row],[Forecast Start]])))</f>
        <v>0</v>
      </c>
      <c r="R163" s="123" t="n">
        <f aca="false">IF(GanttView[[#This Row],[_RemFrom]]=0,0,GanttView[[#This Row],[Forecast Finish]])</f>
        <v>0</v>
      </c>
      <c r="S163" s="122" t="b">
        <f aca="false">IF(IFERROR(INDEX(tsk_Name,GanttView[[#This Row],[_Row]])="",TRUE()),FALSE(),N(INDEX(tsk_Variance,GanttView[[#This Row],[_Row]]))&gt;0)</f>
        <v>0</v>
      </c>
      <c r="T163" s="123" t="n">
        <f aca="false">IF(IFERROR(INDEX(tsk_Name,GanttView[[#This Row],[_Row]])="",TRUE()),0,N(INDEX(tsk_Deadline,GanttView[[#This Row],[_Row]])))</f>
        <v>0</v>
      </c>
      <c r="U163" s="122"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Row],[_Row]])="",TRUE()),"",INDEX(tsk_ResourceNames,GanttView[[#This Row],[_Row]])&amp;"")</f>
        <v/>
      </c>
      <c r="K164" s="117" t="str">
        <f aca="false">IF(IFERROR(INDEX(tsk_Name,GanttView[[#This Row],[_Row]])="",TRUE()),"",INDEX(tsk_Status,GanttView[[#This Row],[_Row]]))</f>
        <v/>
      </c>
      <c r="L164" s="121" t="n">
        <f aca="false">ROW()-ROW(GanttView[[#Headers],[ID]])</f>
        <v>159</v>
      </c>
      <c r="M164" s="122" t="b">
        <f aca="false">IF(IFERROR(INDEX(tsk_Name,GanttView[[#This Row],[_Row]])="",TRUE()),FALSE(),INDEX(tsk_IsSummary,GanttView[[#This Row],[_Row]]))</f>
        <v>0</v>
      </c>
      <c r="N164" s="122" t="b">
        <f aca="false">IF(IFERROR(INDEX(tsk_Name,GanttView[[#This Row],[_Row]])="",TRUE()),FALSE(),AND(INDEX(tsk_IsLeaf,GanttView[[#This Row],[_Row]])=1,N(INDEX(tsk_Duration,GanttView[[#This Row],[_Row]]))=0))</f>
        <v>0</v>
      </c>
      <c r="O164" s="123" t="n">
        <f aca="false">IF(IFERROR(INDEX(tsk_Name,GanttView[[#This Row],[_Row]])="",TRUE()),0,IF(AND(INDEX(tsk_IsLeaf,GanttView[[#This Row],[_Row]])=1,NOT(GanttView[[#This Row],[_IsMilestone]]),N(GanttView[[#This Row],[%]])&gt;0),GanttView[[#This Row],[Forecast Start]],0))</f>
        <v>0</v>
      </c>
      <c r="P164" s="123" t="n">
        <f aca="false">IF(GanttView[[#This Row],[_DoneFrom]]=0,0,IF(GanttView[[#This Row],[%]]&gt;=1,GanttView[[#This Row],[Forecast Finish]],MAX(GanttView[[#This Row],[_DoneFrom]],GanttView[[#This Row],[Forecast Start]]+ROUND((GanttView[[#This Row],[Forecast Finish]]-GanttView[[#This Row],[Forecast Start]]+1)*GanttView[[#This Row],[%]],0)-1)))</f>
        <v>0</v>
      </c>
      <c r="Q164" s="123" t="n">
        <f aca="false">IF(IFERROR(INDEX(tsk_Name,GanttView[[#This Row],[_Row]])="",TRUE()),0,IF(OR(INDEX(tsk_IsLeaf,GanttView[[#This Row],[_Row]])&lt;&gt;1,GanttView[[#This Row],[_IsMilestone]],N(GanttView[[#This Row],[%]])&gt;=1),0,IF(GanttView[[#This Row],[_DoneTo]]&gt;0,GanttView[[#This Row],[_DoneTo]]+1,GanttView[[#This Row],[Forecast Start]])))</f>
        <v>0</v>
      </c>
      <c r="R164" s="123" t="n">
        <f aca="false">IF(GanttView[[#This Row],[_RemFrom]]=0,0,GanttView[[#This Row],[Forecast Finish]])</f>
        <v>0</v>
      </c>
      <c r="S164" s="122" t="b">
        <f aca="false">IF(IFERROR(INDEX(tsk_Name,GanttView[[#This Row],[_Row]])="",TRUE()),FALSE(),N(INDEX(tsk_Variance,GanttView[[#This Row],[_Row]]))&gt;0)</f>
        <v>0</v>
      </c>
      <c r="T164" s="123" t="n">
        <f aca="false">IF(IFERROR(INDEX(tsk_Name,GanttView[[#This Row],[_Row]])="",TRUE()),0,N(INDEX(tsk_Deadline,GanttView[[#This Row],[_Row]])))</f>
        <v>0</v>
      </c>
      <c r="U164" s="122"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Row],[_Row]])="",TRUE()),"",INDEX(tsk_ResourceNames,GanttView[[#This Row],[_Row]])&amp;"")</f>
        <v/>
      </c>
      <c r="K165" s="117" t="str">
        <f aca="false">IF(IFERROR(INDEX(tsk_Name,GanttView[[#This Row],[_Row]])="",TRUE()),"",INDEX(tsk_Status,GanttView[[#This Row],[_Row]]))</f>
        <v/>
      </c>
      <c r="L165" s="121" t="n">
        <f aca="false">ROW()-ROW(GanttView[[#Headers],[ID]])</f>
        <v>160</v>
      </c>
      <c r="M165" s="122" t="b">
        <f aca="false">IF(IFERROR(INDEX(tsk_Name,GanttView[[#This Row],[_Row]])="",TRUE()),FALSE(),INDEX(tsk_IsSummary,GanttView[[#This Row],[_Row]]))</f>
        <v>0</v>
      </c>
      <c r="N165" s="122" t="b">
        <f aca="false">IF(IFERROR(INDEX(tsk_Name,GanttView[[#This Row],[_Row]])="",TRUE()),FALSE(),AND(INDEX(tsk_IsLeaf,GanttView[[#This Row],[_Row]])=1,N(INDEX(tsk_Duration,GanttView[[#This Row],[_Row]]))=0))</f>
        <v>0</v>
      </c>
      <c r="O165" s="123" t="n">
        <f aca="false">IF(IFERROR(INDEX(tsk_Name,GanttView[[#This Row],[_Row]])="",TRUE()),0,IF(AND(INDEX(tsk_IsLeaf,GanttView[[#This Row],[_Row]])=1,NOT(GanttView[[#This Row],[_IsMilestone]]),N(GanttView[[#This Row],[%]])&gt;0),GanttView[[#This Row],[Forecast Start]],0))</f>
        <v>0</v>
      </c>
      <c r="P165" s="123" t="n">
        <f aca="false">IF(GanttView[[#This Row],[_DoneFrom]]=0,0,IF(GanttView[[#This Row],[%]]&gt;=1,GanttView[[#This Row],[Forecast Finish]],MAX(GanttView[[#This Row],[_DoneFrom]],GanttView[[#This Row],[Forecast Start]]+ROUND((GanttView[[#This Row],[Forecast Finish]]-GanttView[[#This Row],[Forecast Start]]+1)*GanttView[[#This Row],[%]],0)-1)))</f>
        <v>0</v>
      </c>
      <c r="Q165" s="123" t="n">
        <f aca="false">IF(IFERROR(INDEX(tsk_Name,GanttView[[#This Row],[_Row]])="",TRUE()),0,IF(OR(INDEX(tsk_IsLeaf,GanttView[[#This Row],[_Row]])&lt;&gt;1,GanttView[[#This Row],[_IsMilestone]],N(GanttView[[#This Row],[%]])&gt;=1),0,IF(GanttView[[#This Row],[_DoneTo]]&gt;0,GanttView[[#This Row],[_DoneTo]]+1,GanttView[[#This Row],[Forecast Start]])))</f>
        <v>0</v>
      </c>
      <c r="R165" s="123" t="n">
        <f aca="false">IF(GanttView[[#This Row],[_RemFrom]]=0,0,GanttView[[#This Row],[Forecast Finish]])</f>
        <v>0</v>
      </c>
      <c r="S165" s="122" t="b">
        <f aca="false">IF(IFERROR(INDEX(tsk_Name,GanttView[[#This Row],[_Row]])="",TRUE()),FALSE(),N(INDEX(tsk_Variance,GanttView[[#This Row],[_Row]]))&gt;0)</f>
        <v>0</v>
      </c>
      <c r="T165" s="123" t="n">
        <f aca="false">IF(IFERROR(INDEX(tsk_Name,GanttView[[#This Row],[_Row]])="",TRUE()),0,N(INDEX(tsk_Deadline,GanttView[[#This Row],[_Row]])))</f>
        <v>0</v>
      </c>
      <c r="U165" s="122"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Row],[_Row]])="",TRUE()),"",INDEX(tsk_ResourceNames,GanttView[[#This Row],[_Row]])&amp;"")</f>
        <v/>
      </c>
      <c r="K166" s="117" t="str">
        <f aca="false">IF(IFERROR(INDEX(tsk_Name,GanttView[[#This Row],[_Row]])="",TRUE()),"",INDEX(tsk_Status,GanttView[[#This Row],[_Row]]))</f>
        <v/>
      </c>
      <c r="L166" s="121" t="n">
        <f aca="false">ROW()-ROW(GanttView[[#Headers],[ID]])</f>
        <v>161</v>
      </c>
      <c r="M166" s="122" t="b">
        <f aca="false">IF(IFERROR(INDEX(tsk_Name,GanttView[[#This Row],[_Row]])="",TRUE()),FALSE(),INDEX(tsk_IsSummary,GanttView[[#This Row],[_Row]]))</f>
        <v>0</v>
      </c>
      <c r="N166" s="122" t="b">
        <f aca="false">IF(IFERROR(INDEX(tsk_Name,GanttView[[#This Row],[_Row]])="",TRUE()),FALSE(),AND(INDEX(tsk_IsLeaf,GanttView[[#This Row],[_Row]])=1,N(INDEX(tsk_Duration,GanttView[[#This Row],[_Row]]))=0))</f>
        <v>0</v>
      </c>
      <c r="O166" s="123" t="n">
        <f aca="false">IF(IFERROR(INDEX(tsk_Name,GanttView[[#This Row],[_Row]])="",TRUE()),0,IF(AND(INDEX(tsk_IsLeaf,GanttView[[#This Row],[_Row]])=1,NOT(GanttView[[#This Row],[_IsMilestone]]),N(GanttView[[#This Row],[%]])&gt;0),GanttView[[#This Row],[Forecast Start]],0))</f>
        <v>0</v>
      </c>
      <c r="P166" s="123" t="n">
        <f aca="false">IF(GanttView[[#This Row],[_DoneFrom]]=0,0,IF(GanttView[[#This Row],[%]]&gt;=1,GanttView[[#This Row],[Forecast Finish]],MAX(GanttView[[#This Row],[_DoneFrom]],GanttView[[#This Row],[Forecast Start]]+ROUND((GanttView[[#This Row],[Forecast Finish]]-GanttView[[#This Row],[Forecast Start]]+1)*GanttView[[#This Row],[%]],0)-1)))</f>
        <v>0</v>
      </c>
      <c r="Q166" s="123" t="n">
        <f aca="false">IF(IFERROR(INDEX(tsk_Name,GanttView[[#This Row],[_Row]])="",TRUE()),0,IF(OR(INDEX(tsk_IsLeaf,GanttView[[#This Row],[_Row]])&lt;&gt;1,GanttView[[#This Row],[_IsMilestone]],N(GanttView[[#This Row],[%]])&gt;=1),0,IF(GanttView[[#This Row],[_DoneTo]]&gt;0,GanttView[[#This Row],[_DoneTo]]+1,GanttView[[#This Row],[Forecast Start]])))</f>
        <v>0</v>
      </c>
      <c r="R166" s="123" t="n">
        <f aca="false">IF(GanttView[[#This Row],[_RemFrom]]=0,0,GanttView[[#This Row],[Forecast Finish]])</f>
        <v>0</v>
      </c>
      <c r="S166" s="122" t="b">
        <f aca="false">IF(IFERROR(INDEX(tsk_Name,GanttView[[#This Row],[_Row]])="",TRUE()),FALSE(),N(INDEX(tsk_Variance,GanttView[[#This Row],[_Row]]))&gt;0)</f>
        <v>0</v>
      </c>
      <c r="T166" s="123" t="n">
        <f aca="false">IF(IFERROR(INDEX(tsk_Name,GanttView[[#This Row],[_Row]])="",TRUE()),0,N(INDEX(tsk_Deadline,GanttView[[#This Row],[_Row]])))</f>
        <v>0</v>
      </c>
      <c r="U166" s="122"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Row],[_Row]])="",TRUE()),"",INDEX(tsk_ResourceNames,GanttView[[#This Row],[_Row]])&amp;"")</f>
        <v/>
      </c>
      <c r="K167" s="117" t="str">
        <f aca="false">IF(IFERROR(INDEX(tsk_Name,GanttView[[#This Row],[_Row]])="",TRUE()),"",INDEX(tsk_Status,GanttView[[#This Row],[_Row]]))</f>
        <v/>
      </c>
      <c r="L167" s="121" t="n">
        <f aca="false">ROW()-ROW(GanttView[[#Headers],[ID]])</f>
        <v>162</v>
      </c>
      <c r="M167" s="122" t="b">
        <f aca="false">IF(IFERROR(INDEX(tsk_Name,GanttView[[#This Row],[_Row]])="",TRUE()),FALSE(),INDEX(tsk_IsSummary,GanttView[[#This Row],[_Row]]))</f>
        <v>0</v>
      </c>
      <c r="N167" s="122" t="b">
        <f aca="false">IF(IFERROR(INDEX(tsk_Name,GanttView[[#This Row],[_Row]])="",TRUE()),FALSE(),AND(INDEX(tsk_IsLeaf,GanttView[[#This Row],[_Row]])=1,N(INDEX(tsk_Duration,GanttView[[#This Row],[_Row]]))=0))</f>
        <v>0</v>
      </c>
      <c r="O167" s="123" t="n">
        <f aca="false">IF(IFERROR(INDEX(tsk_Name,GanttView[[#This Row],[_Row]])="",TRUE()),0,IF(AND(INDEX(tsk_IsLeaf,GanttView[[#This Row],[_Row]])=1,NOT(GanttView[[#This Row],[_IsMilestone]]),N(GanttView[[#This Row],[%]])&gt;0),GanttView[[#This Row],[Forecast Start]],0))</f>
        <v>0</v>
      </c>
      <c r="P167" s="123" t="n">
        <f aca="false">IF(GanttView[[#This Row],[_DoneFrom]]=0,0,IF(GanttView[[#This Row],[%]]&gt;=1,GanttView[[#This Row],[Forecast Finish]],MAX(GanttView[[#This Row],[_DoneFrom]],GanttView[[#This Row],[Forecast Start]]+ROUND((GanttView[[#This Row],[Forecast Finish]]-GanttView[[#This Row],[Forecast Start]]+1)*GanttView[[#This Row],[%]],0)-1)))</f>
        <v>0</v>
      </c>
      <c r="Q167" s="123" t="n">
        <f aca="false">IF(IFERROR(INDEX(tsk_Name,GanttView[[#This Row],[_Row]])="",TRUE()),0,IF(OR(INDEX(tsk_IsLeaf,GanttView[[#This Row],[_Row]])&lt;&gt;1,GanttView[[#This Row],[_IsMilestone]],N(GanttView[[#This Row],[%]])&gt;=1),0,IF(GanttView[[#This Row],[_DoneTo]]&gt;0,GanttView[[#This Row],[_DoneTo]]+1,GanttView[[#This Row],[Forecast Start]])))</f>
        <v>0</v>
      </c>
      <c r="R167" s="123" t="n">
        <f aca="false">IF(GanttView[[#This Row],[_RemFrom]]=0,0,GanttView[[#This Row],[Forecast Finish]])</f>
        <v>0</v>
      </c>
      <c r="S167" s="122" t="b">
        <f aca="false">IF(IFERROR(INDEX(tsk_Name,GanttView[[#This Row],[_Row]])="",TRUE()),FALSE(),N(INDEX(tsk_Variance,GanttView[[#This Row],[_Row]]))&gt;0)</f>
        <v>0</v>
      </c>
      <c r="T167" s="123" t="n">
        <f aca="false">IF(IFERROR(INDEX(tsk_Name,GanttView[[#This Row],[_Row]])="",TRUE()),0,N(INDEX(tsk_Deadline,GanttView[[#This Row],[_Row]])))</f>
        <v>0</v>
      </c>
      <c r="U167" s="122"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Row],[_Row]])="",TRUE()),"",INDEX(tsk_ResourceNames,GanttView[[#This Row],[_Row]])&amp;"")</f>
        <v/>
      </c>
      <c r="K168" s="117" t="str">
        <f aca="false">IF(IFERROR(INDEX(tsk_Name,GanttView[[#This Row],[_Row]])="",TRUE()),"",INDEX(tsk_Status,GanttView[[#This Row],[_Row]]))</f>
        <v/>
      </c>
      <c r="L168" s="121" t="n">
        <f aca="false">ROW()-ROW(GanttView[[#Headers],[ID]])</f>
        <v>163</v>
      </c>
      <c r="M168" s="122" t="b">
        <f aca="false">IF(IFERROR(INDEX(tsk_Name,GanttView[[#This Row],[_Row]])="",TRUE()),FALSE(),INDEX(tsk_IsSummary,GanttView[[#This Row],[_Row]]))</f>
        <v>0</v>
      </c>
      <c r="N168" s="122" t="b">
        <f aca="false">IF(IFERROR(INDEX(tsk_Name,GanttView[[#This Row],[_Row]])="",TRUE()),FALSE(),AND(INDEX(tsk_IsLeaf,GanttView[[#This Row],[_Row]])=1,N(INDEX(tsk_Duration,GanttView[[#This Row],[_Row]]))=0))</f>
        <v>0</v>
      </c>
      <c r="O168" s="123" t="n">
        <f aca="false">IF(IFERROR(INDEX(tsk_Name,GanttView[[#This Row],[_Row]])="",TRUE()),0,IF(AND(INDEX(tsk_IsLeaf,GanttView[[#This Row],[_Row]])=1,NOT(GanttView[[#This Row],[_IsMilestone]]),N(GanttView[[#This Row],[%]])&gt;0),GanttView[[#This Row],[Forecast Start]],0))</f>
        <v>0</v>
      </c>
      <c r="P168" s="123" t="n">
        <f aca="false">IF(GanttView[[#This Row],[_DoneFrom]]=0,0,IF(GanttView[[#This Row],[%]]&gt;=1,GanttView[[#This Row],[Forecast Finish]],MAX(GanttView[[#This Row],[_DoneFrom]],GanttView[[#This Row],[Forecast Start]]+ROUND((GanttView[[#This Row],[Forecast Finish]]-GanttView[[#This Row],[Forecast Start]]+1)*GanttView[[#This Row],[%]],0)-1)))</f>
        <v>0</v>
      </c>
      <c r="Q168" s="123" t="n">
        <f aca="false">IF(IFERROR(INDEX(tsk_Name,GanttView[[#This Row],[_Row]])="",TRUE()),0,IF(OR(INDEX(tsk_IsLeaf,GanttView[[#This Row],[_Row]])&lt;&gt;1,GanttView[[#This Row],[_IsMilestone]],N(GanttView[[#This Row],[%]])&gt;=1),0,IF(GanttView[[#This Row],[_DoneTo]]&gt;0,GanttView[[#This Row],[_DoneTo]]+1,GanttView[[#This Row],[Forecast Start]])))</f>
        <v>0</v>
      </c>
      <c r="R168" s="123" t="n">
        <f aca="false">IF(GanttView[[#This Row],[_RemFrom]]=0,0,GanttView[[#This Row],[Forecast Finish]])</f>
        <v>0</v>
      </c>
      <c r="S168" s="122" t="b">
        <f aca="false">IF(IFERROR(INDEX(tsk_Name,GanttView[[#This Row],[_Row]])="",TRUE()),FALSE(),N(INDEX(tsk_Variance,GanttView[[#This Row],[_Row]]))&gt;0)</f>
        <v>0</v>
      </c>
      <c r="T168" s="123" t="n">
        <f aca="false">IF(IFERROR(INDEX(tsk_Name,GanttView[[#This Row],[_Row]])="",TRUE()),0,N(INDEX(tsk_Deadline,GanttView[[#This Row],[_Row]])))</f>
        <v>0</v>
      </c>
      <c r="U168" s="122"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Row],[_Row]])="",TRUE()),"",INDEX(tsk_ResourceNames,GanttView[[#This Row],[_Row]])&amp;"")</f>
        <v/>
      </c>
      <c r="K169" s="117" t="str">
        <f aca="false">IF(IFERROR(INDEX(tsk_Name,GanttView[[#This Row],[_Row]])="",TRUE()),"",INDEX(tsk_Status,GanttView[[#This Row],[_Row]]))</f>
        <v/>
      </c>
      <c r="L169" s="121" t="n">
        <f aca="false">ROW()-ROW(GanttView[[#Headers],[ID]])</f>
        <v>164</v>
      </c>
      <c r="M169" s="122" t="b">
        <f aca="false">IF(IFERROR(INDEX(tsk_Name,GanttView[[#This Row],[_Row]])="",TRUE()),FALSE(),INDEX(tsk_IsSummary,GanttView[[#This Row],[_Row]]))</f>
        <v>0</v>
      </c>
      <c r="N169" s="122" t="b">
        <f aca="false">IF(IFERROR(INDEX(tsk_Name,GanttView[[#This Row],[_Row]])="",TRUE()),FALSE(),AND(INDEX(tsk_IsLeaf,GanttView[[#This Row],[_Row]])=1,N(INDEX(tsk_Duration,GanttView[[#This Row],[_Row]]))=0))</f>
        <v>0</v>
      </c>
      <c r="O169" s="123" t="n">
        <f aca="false">IF(IFERROR(INDEX(tsk_Name,GanttView[[#This Row],[_Row]])="",TRUE()),0,IF(AND(INDEX(tsk_IsLeaf,GanttView[[#This Row],[_Row]])=1,NOT(GanttView[[#This Row],[_IsMilestone]]),N(GanttView[[#This Row],[%]])&gt;0),GanttView[[#This Row],[Forecast Start]],0))</f>
        <v>0</v>
      </c>
      <c r="P169" s="123" t="n">
        <f aca="false">IF(GanttView[[#This Row],[_DoneFrom]]=0,0,IF(GanttView[[#This Row],[%]]&gt;=1,GanttView[[#This Row],[Forecast Finish]],MAX(GanttView[[#This Row],[_DoneFrom]],GanttView[[#This Row],[Forecast Start]]+ROUND((GanttView[[#This Row],[Forecast Finish]]-GanttView[[#This Row],[Forecast Start]]+1)*GanttView[[#This Row],[%]],0)-1)))</f>
        <v>0</v>
      </c>
      <c r="Q169" s="123" t="n">
        <f aca="false">IF(IFERROR(INDEX(tsk_Name,GanttView[[#This Row],[_Row]])="",TRUE()),0,IF(OR(INDEX(tsk_IsLeaf,GanttView[[#This Row],[_Row]])&lt;&gt;1,GanttView[[#This Row],[_IsMilestone]],N(GanttView[[#This Row],[%]])&gt;=1),0,IF(GanttView[[#This Row],[_DoneTo]]&gt;0,GanttView[[#This Row],[_DoneTo]]+1,GanttView[[#This Row],[Forecast Start]])))</f>
        <v>0</v>
      </c>
      <c r="R169" s="123" t="n">
        <f aca="false">IF(GanttView[[#This Row],[_RemFrom]]=0,0,GanttView[[#This Row],[Forecast Finish]])</f>
        <v>0</v>
      </c>
      <c r="S169" s="122" t="b">
        <f aca="false">IF(IFERROR(INDEX(tsk_Name,GanttView[[#This Row],[_Row]])="",TRUE()),FALSE(),N(INDEX(tsk_Variance,GanttView[[#This Row],[_Row]]))&gt;0)</f>
        <v>0</v>
      </c>
      <c r="T169" s="123" t="n">
        <f aca="false">IF(IFERROR(INDEX(tsk_Name,GanttView[[#This Row],[_Row]])="",TRUE()),0,N(INDEX(tsk_Deadline,GanttView[[#This Row],[_Row]])))</f>
        <v>0</v>
      </c>
      <c r="U169" s="122"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Row],[_Row]])="",TRUE()),"",INDEX(tsk_ResourceNames,GanttView[[#This Row],[_Row]])&amp;"")</f>
        <v/>
      </c>
      <c r="K170" s="117" t="str">
        <f aca="false">IF(IFERROR(INDEX(tsk_Name,GanttView[[#This Row],[_Row]])="",TRUE()),"",INDEX(tsk_Status,GanttView[[#This Row],[_Row]]))</f>
        <v/>
      </c>
      <c r="L170" s="121" t="n">
        <f aca="false">ROW()-ROW(GanttView[[#Headers],[ID]])</f>
        <v>165</v>
      </c>
      <c r="M170" s="122" t="b">
        <f aca="false">IF(IFERROR(INDEX(tsk_Name,GanttView[[#This Row],[_Row]])="",TRUE()),FALSE(),INDEX(tsk_IsSummary,GanttView[[#This Row],[_Row]]))</f>
        <v>0</v>
      </c>
      <c r="N170" s="122" t="b">
        <f aca="false">IF(IFERROR(INDEX(tsk_Name,GanttView[[#This Row],[_Row]])="",TRUE()),FALSE(),AND(INDEX(tsk_IsLeaf,GanttView[[#This Row],[_Row]])=1,N(INDEX(tsk_Duration,GanttView[[#This Row],[_Row]]))=0))</f>
        <v>0</v>
      </c>
      <c r="O170" s="123" t="n">
        <f aca="false">IF(IFERROR(INDEX(tsk_Name,GanttView[[#This Row],[_Row]])="",TRUE()),0,IF(AND(INDEX(tsk_IsLeaf,GanttView[[#This Row],[_Row]])=1,NOT(GanttView[[#This Row],[_IsMilestone]]),N(GanttView[[#This Row],[%]])&gt;0),GanttView[[#This Row],[Forecast Start]],0))</f>
        <v>0</v>
      </c>
      <c r="P170" s="123" t="n">
        <f aca="false">IF(GanttView[[#This Row],[_DoneFrom]]=0,0,IF(GanttView[[#This Row],[%]]&gt;=1,GanttView[[#This Row],[Forecast Finish]],MAX(GanttView[[#This Row],[_DoneFrom]],GanttView[[#This Row],[Forecast Start]]+ROUND((GanttView[[#This Row],[Forecast Finish]]-GanttView[[#This Row],[Forecast Start]]+1)*GanttView[[#This Row],[%]],0)-1)))</f>
        <v>0</v>
      </c>
      <c r="Q170" s="123" t="n">
        <f aca="false">IF(IFERROR(INDEX(tsk_Name,GanttView[[#This Row],[_Row]])="",TRUE()),0,IF(OR(INDEX(tsk_IsLeaf,GanttView[[#This Row],[_Row]])&lt;&gt;1,GanttView[[#This Row],[_IsMilestone]],N(GanttView[[#This Row],[%]])&gt;=1),0,IF(GanttView[[#This Row],[_DoneTo]]&gt;0,GanttView[[#This Row],[_DoneTo]]+1,GanttView[[#This Row],[Forecast Start]])))</f>
        <v>0</v>
      </c>
      <c r="R170" s="123" t="n">
        <f aca="false">IF(GanttView[[#This Row],[_RemFrom]]=0,0,GanttView[[#This Row],[Forecast Finish]])</f>
        <v>0</v>
      </c>
      <c r="S170" s="122" t="b">
        <f aca="false">IF(IFERROR(INDEX(tsk_Name,GanttView[[#This Row],[_Row]])="",TRUE()),FALSE(),N(INDEX(tsk_Variance,GanttView[[#This Row],[_Row]]))&gt;0)</f>
        <v>0</v>
      </c>
      <c r="T170" s="123" t="n">
        <f aca="false">IF(IFERROR(INDEX(tsk_Name,GanttView[[#This Row],[_Row]])="",TRUE()),0,N(INDEX(tsk_Deadline,GanttView[[#This Row],[_Row]])))</f>
        <v>0</v>
      </c>
      <c r="U170" s="122"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Row],[_Row]])="",TRUE()),"",INDEX(tsk_ResourceNames,GanttView[[#This Row],[_Row]])&amp;"")</f>
        <v/>
      </c>
      <c r="K171" s="117" t="str">
        <f aca="false">IF(IFERROR(INDEX(tsk_Name,GanttView[[#This Row],[_Row]])="",TRUE()),"",INDEX(tsk_Status,GanttView[[#This Row],[_Row]]))</f>
        <v/>
      </c>
      <c r="L171" s="121" t="n">
        <f aca="false">ROW()-ROW(GanttView[[#Headers],[ID]])</f>
        <v>166</v>
      </c>
      <c r="M171" s="122" t="b">
        <f aca="false">IF(IFERROR(INDEX(tsk_Name,GanttView[[#This Row],[_Row]])="",TRUE()),FALSE(),INDEX(tsk_IsSummary,GanttView[[#This Row],[_Row]]))</f>
        <v>0</v>
      </c>
      <c r="N171" s="122" t="b">
        <f aca="false">IF(IFERROR(INDEX(tsk_Name,GanttView[[#This Row],[_Row]])="",TRUE()),FALSE(),AND(INDEX(tsk_IsLeaf,GanttView[[#This Row],[_Row]])=1,N(INDEX(tsk_Duration,GanttView[[#This Row],[_Row]]))=0))</f>
        <v>0</v>
      </c>
      <c r="O171" s="123" t="n">
        <f aca="false">IF(IFERROR(INDEX(tsk_Name,GanttView[[#This Row],[_Row]])="",TRUE()),0,IF(AND(INDEX(tsk_IsLeaf,GanttView[[#This Row],[_Row]])=1,NOT(GanttView[[#This Row],[_IsMilestone]]),N(GanttView[[#This Row],[%]])&gt;0),GanttView[[#This Row],[Forecast Start]],0))</f>
        <v>0</v>
      </c>
      <c r="P171" s="123" t="n">
        <f aca="false">IF(GanttView[[#This Row],[_DoneFrom]]=0,0,IF(GanttView[[#This Row],[%]]&gt;=1,GanttView[[#This Row],[Forecast Finish]],MAX(GanttView[[#This Row],[_DoneFrom]],GanttView[[#This Row],[Forecast Start]]+ROUND((GanttView[[#This Row],[Forecast Finish]]-GanttView[[#This Row],[Forecast Start]]+1)*GanttView[[#This Row],[%]],0)-1)))</f>
        <v>0</v>
      </c>
      <c r="Q171" s="123" t="n">
        <f aca="false">IF(IFERROR(INDEX(tsk_Name,GanttView[[#This Row],[_Row]])="",TRUE()),0,IF(OR(INDEX(tsk_IsLeaf,GanttView[[#This Row],[_Row]])&lt;&gt;1,GanttView[[#This Row],[_IsMilestone]],N(GanttView[[#This Row],[%]])&gt;=1),0,IF(GanttView[[#This Row],[_DoneTo]]&gt;0,GanttView[[#This Row],[_DoneTo]]+1,GanttView[[#This Row],[Forecast Start]])))</f>
        <v>0</v>
      </c>
      <c r="R171" s="123" t="n">
        <f aca="false">IF(GanttView[[#This Row],[_RemFrom]]=0,0,GanttView[[#This Row],[Forecast Finish]])</f>
        <v>0</v>
      </c>
      <c r="S171" s="122" t="b">
        <f aca="false">IF(IFERROR(INDEX(tsk_Name,GanttView[[#This Row],[_Row]])="",TRUE()),FALSE(),N(INDEX(tsk_Variance,GanttView[[#This Row],[_Row]]))&gt;0)</f>
        <v>0</v>
      </c>
      <c r="T171" s="123" t="n">
        <f aca="false">IF(IFERROR(INDEX(tsk_Name,GanttView[[#This Row],[_Row]])="",TRUE()),0,N(INDEX(tsk_Deadline,GanttView[[#This Row],[_Row]])))</f>
        <v>0</v>
      </c>
      <c r="U171" s="122"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Row],[_Row]])="",TRUE()),"",INDEX(tsk_ResourceNames,GanttView[[#This Row],[_Row]])&amp;"")</f>
        <v/>
      </c>
      <c r="K172" s="117" t="str">
        <f aca="false">IF(IFERROR(INDEX(tsk_Name,GanttView[[#This Row],[_Row]])="",TRUE()),"",INDEX(tsk_Status,GanttView[[#This Row],[_Row]]))</f>
        <v/>
      </c>
      <c r="L172" s="121" t="n">
        <f aca="false">ROW()-ROW(GanttView[[#Headers],[ID]])</f>
        <v>167</v>
      </c>
      <c r="M172" s="122" t="b">
        <f aca="false">IF(IFERROR(INDEX(tsk_Name,GanttView[[#This Row],[_Row]])="",TRUE()),FALSE(),INDEX(tsk_IsSummary,GanttView[[#This Row],[_Row]]))</f>
        <v>0</v>
      </c>
      <c r="N172" s="122" t="b">
        <f aca="false">IF(IFERROR(INDEX(tsk_Name,GanttView[[#This Row],[_Row]])="",TRUE()),FALSE(),AND(INDEX(tsk_IsLeaf,GanttView[[#This Row],[_Row]])=1,N(INDEX(tsk_Duration,GanttView[[#This Row],[_Row]]))=0))</f>
        <v>0</v>
      </c>
      <c r="O172" s="123" t="n">
        <f aca="false">IF(IFERROR(INDEX(tsk_Name,GanttView[[#This Row],[_Row]])="",TRUE()),0,IF(AND(INDEX(tsk_IsLeaf,GanttView[[#This Row],[_Row]])=1,NOT(GanttView[[#This Row],[_IsMilestone]]),N(GanttView[[#This Row],[%]])&gt;0),GanttView[[#This Row],[Forecast Start]],0))</f>
        <v>0</v>
      </c>
      <c r="P172" s="123" t="n">
        <f aca="false">IF(GanttView[[#This Row],[_DoneFrom]]=0,0,IF(GanttView[[#This Row],[%]]&gt;=1,GanttView[[#This Row],[Forecast Finish]],MAX(GanttView[[#This Row],[_DoneFrom]],GanttView[[#This Row],[Forecast Start]]+ROUND((GanttView[[#This Row],[Forecast Finish]]-GanttView[[#This Row],[Forecast Start]]+1)*GanttView[[#This Row],[%]],0)-1)))</f>
        <v>0</v>
      </c>
      <c r="Q172" s="123" t="n">
        <f aca="false">IF(IFERROR(INDEX(tsk_Name,GanttView[[#This Row],[_Row]])="",TRUE()),0,IF(OR(INDEX(tsk_IsLeaf,GanttView[[#This Row],[_Row]])&lt;&gt;1,GanttView[[#This Row],[_IsMilestone]],N(GanttView[[#This Row],[%]])&gt;=1),0,IF(GanttView[[#This Row],[_DoneTo]]&gt;0,GanttView[[#This Row],[_DoneTo]]+1,GanttView[[#This Row],[Forecast Start]])))</f>
        <v>0</v>
      </c>
      <c r="R172" s="123" t="n">
        <f aca="false">IF(GanttView[[#This Row],[_RemFrom]]=0,0,GanttView[[#This Row],[Forecast Finish]])</f>
        <v>0</v>
      </c>
      <c r="S172" s="122" t="b">
        <f aca="false">IF(IFERROR(INDEX(tsk_Name,GanttView[[#This Row],[_Row]])="",TRUE()),FALSE(),N(INDEX(tsk_Variance,GanttView[[#This Row],[_Row]]))&gt;0)</f>
        <v>0</v>
      </c>
      <c r="T172" s="123" t="n">
        <f aca="false">IF(IFERROR(INDEX(tsk_Name,GanttView[[#This Row],[_Row]])="",TRUE()),0,N(INDEX(tsk_Deadline,GanttView[[#This Row],[_Row]])))</f>
        <v>0</v>
      </c>
      <c r="U172" s="122"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Row],[_Row]])="",TRUE()),"",INDEX(tsk_ResourceNames,GanttView[[#This Row],[_Row]])&amp;"")</f>
        <v/>
      </c>
      <c r="K173" s="117" t="str">
        <f aca="false">IF(IFERROR(INDEX(tsk_Name,GanttView[[#This Row],[_Row]])="",TRUE()),"",INDEX(tsk_Status,GanttView[[#This Row],[_Row]]))</f>
        <v/>
      </c>
      <c r="L173" s="121" t="n">
        <f aca="false">ROW()-ROW(GanttView[[#Headers],[ID]])</f>
        <v>168</v>
      </c>
      <c r="M173" s="122" t="b">
        <f aca="false">IF(IFERROR(INDEX(tsk_Name,GanttView[[#This Row],[_Row]])="",TRUE()),FALSE(),INDEX(tsk_IsSummary,GanttView[[#This Row],[_Row]]))</f>
        <v>0</v>
      </c>
      <c r="N173" s="122" t="b">
        <f aca="false">IF(IFERROR(INDEX(tsk_Name,GanttView[[#This Row],[_Row]])="",TRUE()),FALSE(),AND(INDEX(tsk_IsLeaf,GanttView[[#This Row],[_Row]])=1,N(INDEX(tsk_Duration,GanttView[[#This Row],[_Row]]))=0))</f>
        <v>0</v>
      </c>
      <c r="O173" s="123" t="n">
        <f aca="false">IF(IFERROR(INDEX(tsk_Name,GanttView[[#This Row],[_Row]])="",TRUE()),0,IF(AND(INDEX(tsk_IsLeaf,GanttView[[#This Row],[_Row]])=1,NOT(GanttView[[#This Row],[_IsMilestone]]),N(GanttView[[#This Row],[%]])&gt;0),GanttView[[#This Row],[Forecast Start]],0))</f>
        <v>0</v>
      </c>
      <c r="P173" s="123" t="n">
        <f aca="false">IF(GanttView[[#This Row],[_DoneFrom]]=0,0,IF(GanttView[[#This Row],[%]]&gt;=1,GanttView[[#This Row],[Forecast Finish]],MAX(GanttView[[#This Row],[_DoneFrom]],GanttView[[#This Row],[Forecast Start]]+ROUND((GanttView[[#This Row],[Forecast Finish]]-GanttView[[#This Row],[Forecast Start]]+1)*GanttView[[#This Row],[%]],0)-1)))</f>
        <v>0</v>
      </c>
      <c r="Q173" s="123" t="n">
        <f aca="false">IF(IFERROR(INDEX(tsk_Name,GanttView[[#This Row],[_Row]])="",TRUE()),0,IF(OR(INDEX(tsk_IsLeaf,GanttView[[#This Row],[_Row]])&lt;&gt;1,GanttView[[#This Row],[_IsMilestone]],N(GanttView[[#This Row],[%]])&gt;=1),0,IF(GanttView[[#This Row],[_DoneTo]]&gt;0,GanttView[[#This Row],[_DoneTo]]+1,GanttView[[#This Row],[Forecast Start]])))</f>
        <v>0</v>
      </c>
      <c r="R173" s="123" t="n">
        <f aca="false">IF(GanttView[[#This Row],[_RemFrom]]=0,0,GanttView[[#This Row],[Forecast Finish]])</f>
        <v>0</v>
      </c>
      <c r="S173" s="122" t="b">
        <f aca="false">IF(IFERROR(INDEX(tsk_Name,GanttView[[#This Row],[_Row]])="",TRUE()),FALSE(),N(INDEX(tsk_Variance,GanttView[[#This Row],[_Row]]))&gt;0)</f>
        <v>0</v>
      </c>
      <c r="T173" s="123" t="n">
        <f aca="false">IF(IFERROR(INDEX(tsk_Name,GanttView[[#This Row],[_Row]])="",TRUE()),0,N(INDEX(tsk_Deadline,GanttView[[#This Row],[_Row]])))</f>
        <v>0</v>
      </c>
      <c r="U173" s="122"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Row],[_Row]])="",TRUE()),"",INDEX(tsk_ResourceNames,GanttView[[#This Row],[_Row]])&amp;"")</f>
        <v/>
      </c>
      <c r="K174" s="117" t="str">
        <f aca="false">IF(IFERROR(INDEX(tsk_Name,GanttView[[#This Row],[_Row]])="",TRUE()),"",INDEX(tsk_Status,GanttView[[#This Row],[_Row]]))</f>
        <v/>
      </c>
      <c r="L174" s="121" t="n">
        <f aca="false">ROW()-ROW(GanttView[[#Headers],[ID]])</f>
        <v>169</v>
      </c>
      <c r="M174" s="122" t="b">
        <f aca="false">IF(IFERROR(INDEX(tsk_Name,GanttView[[#This Row],[_Row]])="",TRUE()),FALSE(),INDEX(tsk_IsSummary,GanttView[[#This Row],[_Row]]))</f>
        <v>0</v>
      </c>
      <c r="N174" s="122" t="b">
        <f aca="false">IF(IFERROR(INDEX(tsk_Name,GanttView[[#This Row],[_Row]])="",TRUE()),FALSE(),AND(INDEX(tsk_IsLeaf,GanttView[[#This Row],[_Row]])=1,N(INDEX(tsk_Duration,GanttView[[#This Row],[_Row]]))=0))</f>
        <v>0</v>
      </c>
      <c r="O174" s="123" t="n">
        <f aca="false">IF(IFERROR(INDEX(tsk_Name,GanttView[[#This Row],[_Row]])="",TRUE()),0,IF(AND(INDEX(tsk_IsLeaf,GanttView[[#This Row],[_Row]])=1,NOT(GanttView[[#This Row],[_IsMilestone]]),N(GanttView[[#This Row],[%]])&gt;0),GanttView[[#This Row],[Forecast Start]],0))</f>
        <v>0</v>
      </c>
      <c r="P174" s="123" t="n">
        <f aca="false">IF(GanttView[[#This Row],[_DoneFrom]]=0,0,IF(GanttView[[#This Row],[%]]&gt;=1,GanttView[[#This Row],[Forecast Finish]],MAX(GanttView[[#This Row],[_DoneFrom]],GanttView[[#This Row],[Forecast Start]]+ROUND((GanttView[[#This Row],[Forecast Finish]]-GanttView[[#This Row],[Forecast Start]]+1)*GanttView[[#This Row],[%]],0)-1)))</f>
        <v>0</v>
      </c>
      <c r="Q174" s="123" t="n">
        <f aca="false">IF(IFERROR(INDEX(tsk_Name,GanttView[[#This Row],[_Row]])="",TRUE()),0,IF(OR(INDEX(tsk_IsLeaf,GanttView[[#This Row],[_Row]])&lt;&gt;1,GanttView[[#This Row],[_IsMilestone]],N(GanttView[[#This Row],[%]])&gt;=1),0,IF(GanttView[[#This Row],[_DoneTo]]&gt;0,GanttView[[#This Row],[_DoneTo]]+1,GanttView[[#This Row],[Forecast Start]])))</f>
        <v>0</v>
      </c>
      <c r="R174" s="123" t="n">
        <f aca="false">IF(GanttView[[#This Row],[_RemFrom]]=0,0,GanttView[[#This Row],[Forecast Finish]])</f>
        <v>0</v>
      </c>
      <c r="S174" s="122" t="b">
        <f aca="false">IF(IFERROR(INDEX(tsk_Name,GanttView[[#This Row],[_Row]])="",TRUE()),FALSE(),N(INDEX(tsk_Variance,GanttView[[#This Row],[_Row]]))&gt;0)</f>
        <v>0</v>
      </c>
      <c r="T174" s="123" t="n">
        <f aca="false">IF(IFERROR(INDEX(tsk_Name,GanttView[[#This Row],[_Row]])="",TRUE()),0,N(INDEX(tsk_Deadline,GanttView[[#This Row],[_Row]])))</f>
        <v>0</v>
      </c>
      <c r="U174" s="122"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Row],[_Row]])="",TRUE()),"",INDEX(tsk_ResourceNames,GanttView[[#This Row],[_Row]])&amp;"")</f>
        <v/>
      </c>
      <c r="K175" s="117" t="str">
        <f aca="false">IF(IFERROR(INDEX(tsk_Name,GanttView[[#This Row],[_Row]])="",TRUE()),"",INDEX(tsk_Status,GanttView[[#This Row],[_Row]]))</f>
        <v/>
      </c>
      <c r="L175" s="121" t="n">
        <f aca="false">ROW()-ROW(GanttView[[#Headers],[ID]])</f>
        <v>170</v>
      </c>
      <c r="M175" s="122" t="b">
        <f aca="false">IF(IFERROR(INDEX(tsk_Name,GanttView[[#This Row],[_Row]])="",TRUE()),FALSE(),INDEX(tsk_IsSummary,GanttView[[#This Row],[_Row]]))</f>
        <v>0</v>
      </c>
      <c r="N175" s="122" t="b">
        <f aca="false">IF(IFERROR(INDEX(tsk_Name,GanttView[[#This Row],[_Row]])="",TRUE()),FALSE(),AND(INDEX(tsk_IsLeaf,GanttView[[#This Row],[_Row]])=1,N(INDEX(tsk_Duration,GanttView[[#This Row],[_Row]]))=0))</f>
        <v>0</v>
      </c>
      <c r="O175" s="123" t="n">
        <f aca="false">IF(IFERROR(INDEX(tsk_Name,GanttView[[#This Row],[_Row]])="",TRUE()),0,IF(AND(INDEX(tsk_IsLeaf,GanttView[[#This Row],[_Row]])=1,NOT(GanttView[[#This Row],[_IsMilestone]]),N(GanttView[[#This Row],[%]])&gt;0),GanttView[[#This Row],[Forecast Start]],0))</f>
        <v>0</v>
      </c>
      <c r="P175" s="123" t="n">
        <f aca="false">IF(GanttView[[#This Row],[_DoneFrom]]=0,0,IF(GanttView[[#This Row],[%]]&gt;=1,GanttView[[#This Row],[Forecast Finish]],MAX(GanttView[[#This Row],[_DoneFrom]],GanttView[[#This Row],[Forecast Start]]+ROUND((GanttView[[#This Row],[Forecast Finish]]-GanttView[[#This Row],[Forecast Start]]+1)*GanttView[[#This Row],[%]],0)-1)))</f>
        <v>0</v>
      </c>
      <c r="Q175" s="123" t="n">
        <f aca="false">IF(IFERROR(INDEX(tsk_Name,GanttView[[#This Row],[_Row]])="",TRUE()),0,IF(OR(INDEX(tsk_IsLeaf,GanttView[[#This Row],[_Row]])&lt;&gt;1,GanttView[[#This Row],[_IsMilestone]],N(GanttView[[#This Row],[%]])&gt;=1),0,IF(GanttView[[#This Row],[_DoneTo]]&gt;0,GanttView[[#This Row],[_DoneTo]]+1,GanttView[[#This Row],[Forecast Start]])))</f>
        <v>0</v>
      </c>
      <c r="R175" s="123" t="n">
        <f aca="false">IF(GanttView[[#This Row],[_RemFrom]]=0,0,GanttView[[#This Row],[Forecast Finish]])</f>
        <v>0</v>
      </c>
      <c r="S175" s="122" t="b">
        <f aca="false">IF(IFERROR(INDEX(tsk_Name,GanttView[[#This Row],[_Row]])="",TRUE()),FALSE(),N(INDEX(tsk_Variance,GanttView[[#This Row],[_Row]]))&gt;0)</f>
        <v>0</v>
      </c>
      <c r="T175" s="123" t="n">
        <f aca="false">IF(IFERROR(INDEX(tsk_Name,GanttView[[#This Row],[_Row]])="",TRUE()),0,N(INDEX(tsk_Deadline,GanttView[[#This Row],[_Row]])))</f>
        <v>0</v>
      </c>
      <c r="U175" s="122"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Row],[_Row]])="",TRUE()),"",INDEX(tsk_ResourceNames,GanttView[[#This Row],[_Row]])&amp;"")</f>
        <v/>
      </c>
      <c r="K176" s="117" t="str">
        <f aca="false">IF(IFERROR(INDEX(tsk_Name,GanttView[[#This Row],[_Row]])="",TRUE()),"",INDEX(tsk_Status,GanttView[[#This Row],[_Row]]))</f>
        <v/>
      </c>
      <c r="L176" s="121" t="n">
        <f aca="false">ROW()-ROW(GanttView[[#Headers],[ID]])</f>
        <v>171</v>
      </c>
      <c r="M176" s="122" t="b">
        <f aca="false">IF(IFERROR(INDEX(tsk_Name,GanttView[[#This Row],[_Row]])="",TRUE()),FALSE(),INDEX(tsk_IsSummary,GanttView[[#This Row],[_Row]]))</f>
        <v>0</v>
      </c>
      <c r="N176" s="122" t="b">
        <f aca="false">IF(IFERROR(INDEX(tsk_Name,GanttView[[#This Row],[_Row]])="",TRUE()),FALSE(),AND(INDEX(tsk_IsLeaf,GanttView[[#This Row],[_Row]])=1,N(INDEX(tsk_Duration,GanttView[[#This Row],[_Row]]))=0))</f>
        <v>0</v>
      </c>
      <c r="O176" s="123" t="n">
        <f aca="false">IF(IFERROR(INDEX(tsk_Name,GanttView[[#This Row],[_Row]])="",TRUE()),0,IF(AND(INDEX(tsk_IsLeaf,GanttView[[#This Row],[_Row]])=1,NOT(GanttView[[#This Row],[_IsMilestone]]),N(GanttView[[#This Row],[%]])&gt;0),GanttView[[#This Row],[Forecast Start]],0))</f>
        <v>0</v>
      </c>
      <c r="P176" s="123" t="n">
        <f aca="false">IF(GanttView[[#This Row],[_DoneFrom]]=0,0,IF(GanttView[[#This Row],[%]]&gt;=1,GanttView[[#This Row],[Forecast Finish]],MAX(GanttView[[#This Row],[_DoneFrom]],GanttView[[#This Row],[Forecast Start]]+ROUND((GanttView[[#This Row],[Forecast Finish]]-GanttView[[#This Row],[Forecast Start]]+1)*GanttView[[#This Row],[%]],0)-1)))</f>
        <v>0</v>
      </c>
      <c r="Q176" s="123" t="n">
        <f aca="false">IF(IFERROR(INDEX(tsk_Name,GanttView[[#This Row],[_Row]])="",TRUE()),0,IF(OR(INDEX(tsk_IsLeaf,GanttView[[#This Row],[_Row]])&lt;&gt;1,GanttView[[#This Row],[_IsMilestone]],N(GanttView[[#This Row],[%]])&gt;=1),0,IF(GanttView[[#This Row],[_DoneTo]]&gt;0,GanttView[[#This Row],[_DoneTo]]+1,GanttView[[#This Row],[Forecast Start]])))</f>
        <v>0</v>
      </c>
      <c r="R176" s="123" t="n">
        <f aca="false">IF(GanttView[[#This Row],[_RemFrom]]=0,0,GanttView[[#This Row],[Forecast Finish]])</f>
        <v>0</v>
      </c>
      <c r="S176" s="122" t="b">
        <f aca="false">IF(IFERROR(INDEX(tsk_Name,GanttView[[#This Row],[_Row]])="",TRUE()),FALSE(),N(INDEX(tsk_Variance,GanttView[[#This Row],[_Row]]))&gt;0)</f>
        <v>0</v>
      </c>
      <c r="T176" s="123" t="n">
        <f aca="false">IF(IFERROR(INDEX(tsk_Name,GanttView[[#This Row],[_Row]])="",TRUE()),0,N(INDEX(tsk_Deadline,GanttView[[#This Row],[_Row]])))</f>
        <v>0</v>
      </c>
      <c r="U176" s="122"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Row],[_Row]])="",TRUE()),"",INDEX(tsk_ResourceNames,GanttView[[#This Row],[_Row]])&amp;"")</f>
        <v/>
      </c>
      <c r="K177" s="117" t="str">
        <f aca="false">IF(IFERROR(INDEX(tsk_Name,GanttView[[#This Row],[_Row]])="",TRUE()),"",INDEX(tsk_Status,GanttView[[#This Row],[_Row]]))</f>
        <v/>
      </c>
      <c r="L177" s="121" t="n">
        <f aca="false">ROW()-ROW(GanttView[[#Headers],[ID]])</f>
        <v>172</v>
      </c>
      <c r="M177" s="122" t="b">
        <f aca="false">IF(IFERROR(INDEX(tsk_Name,GanttView[[#This Row],[_Row]])="",TRUE()),FALSE(),INDEX(tsk_IsSummary,GanttView[[#This Row],[_Row]]))</f>
        <v>0</v>
      </c>
      <c r="N177" s="122" t="b">
        <f aca="false">IF(IFERROR(INDEX(tsk_Name,GanttView[[#This Row],[_Row]])="",TRUE()),FALSE(),AND(INDEX(tsk_IsLeaf,GanttView[[#This Row],[_Row]])=1,N(INDEX(tsk_Duration,GanttView[[#This Row],[_Row]]))=0))</f>
        <v>0</v>
      </c>
      <c r="O177" s="123" t="n">
        <f aca="false">IF(IFERROR(INDEX(tsk_Name,GanttView[[#This Row],[_Row]])="",TRUE()),0,IF(AND(INDEX(tsk_IsLeaf,GanttView[[#This Row],[_Row]])=1,NOT(GanttView[[#This Row],[_IsMilestone]]),N(GanttView[[#This Row],[%]])&gt;0),GanttView[[#This Row],[Forecast Start]],0))</f>
        <v>0</v>
      </c>
      <c r="P177" s="123" t="n">
        <f aca="false">IF(GanttView[[#This Row],[_DoneFrom]]=0,0,IF(GanttView[[#This Row],[%]]&gt;=1,GanttView[[#This Row],[Forecast Finish]],MAX(GanttView[[#This Row],[_DoneFrom]],GanttView[[#This Row],[Forecast Start]]+ROUND((GanttView[[#This Row],[Forecast Finish]]-GanttView[[#This Row],[Forecast Start]]+1)*GanttView[[#This Row],[%]],0)-1)))</f>
        <v>0</v>
      </c>
      <c r="Q177" s="123" t="n">
        <f aca="false">IF(IFERROR(INDEX(tsk_Name,GanttView[[#This Row],[_Row]])="",TRUE()),0,IF(OR(INDEX(tsk_IsLeaf,GanttView[[#This Row],[_Row]])&lt;&gt;1,GanttView[[#This Row],[_IsMilestone]],N(GanttView[[#This Row],[%]])&gt;=1),0,IF(GanttView[[#This Row],[_DoneTo]]&gt;0,GanttView[[#This Row],[_DoneTo]]+1,GanttView[[#This Row],[Forecast Start]])))</f>
        <v>0</v>
      </c>
      <c r="R177" s="123" t="n">
        <f aca="false">IF(GanttView[[#This Row],[_RemFrom]]=0,0,GanttView[[#This Row],[Forecast Finish]])</f>
        <v>0</v>
      </c>
      <c r="S177" s="122" t="b">
        <f aca="false">IF(IFERROR(INDEX(tsk_Name,GanttView[[#This Row],[_Row]])="",TRUE()),FALSE(),N(INDEX(tsk_Variance,GanttView[[#This Row],[_Row]]))&gt;0)</f>
        <v>0</v>
      </c>
      <c r="T177" s="123" t="n">
        <f aca="false">IF(IFERROR(INDEX(tsk_Name,GanttView[[#This Row],[_Row]])="",TRUE()),0,N(INDEX(tsk_Deadline,GanttView[[#This Row],[_Row]])))</f>
        <v>0</v>
      </c>
      <c r="U177" s="122"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Row],[_Row]])="",TRUE()),"",INDEX(tsk_ResourceNames,GanttView[[#This Row],[_Row]])&amp;"")</f>
        <v/>
      </c>
      <c r="K178" s="117" t="str">
        <f aca="false">IF(IFERROR(INDEX(tsk_Name,GanttView[[#This Row],[_Row]])="",TRUE()),"",INDEX(tsk_Status,GanttView[[#This Row],[_Row]]))</f>
        <v/>
      </c>
      <c r="L178" s="121" t="n">
        <f aca="false">ROW()-ROW(GanttView[[#Headers],[ID]])</f>
        <v>173</v>
      </c>
      <c r="M178" s="122" t="b">
        <f aca="false">IF(IFERROR(INDEX(tsk_Name,GanttView[[#This Row],[_Row]])="",TRUE()),FALSE(),INDEX(tsk_IsSummary,GanttView[[#This Row],[_Row]]))</f>
        <v>0</v>
      </c>
      <c r="N178" s="122" t="b">
        <f aca="false">IF(IFERROR(INDEX(tsk_Name,GanttView[[#This Row],[_Row]])="",TRUE()),FALSE(),AND(INDEX(tsk_IsLeaf,GanttView[[#This Row],[_Row]])=1,N(INDEX(tsk_Duration,GanttView[[#This Row],[_Row]]))=0))</f>
        <v>0</v>
      </c>
      <c r="O178" s="123" t="n">
        <f aca="false">IF(IFERROR(INDEX(tsk_Name,GanttView[[#This Row],[_Row]])="",TRUE()),0,IF(AND(INDEX(tsk_IsLeaf,GanttView[[#This Row],[_Row]])=1,NOT(GanttView[[#This Row],[_IsMilestone]]),N(GanttView[[#This Row],[%]])&gt;0),GanttView[[#This Row],[Forecast Start]],0))</f>
        <v>0</v>
      </c>
      <c r="P178" s="123" t="n">
        <f aca="false">IF(GanttView[[#This Row],[_DoneFrom]]=0,0,IF(GanttView[[#This Row],[%]]&gt;=1,GanttView[[#This Row],[Forecast Finish]],MAX(GanttView[[#This Row],[_DoneFrom]],GanttView[[#This Row],[Forecast Start]]+ROUND((GanttView[[#This Row],[Forecast Finish]]-GanttView[[#This Row],[Forecast Start]]+1)*GanttView[[#This Row],[%]],0)-1)))</f>
        <v>0</v>
      </c>
      <c r="Q178" s="123" t="n">
        <f aca="false">IF(IFERROR(INDEX(tsk_Name,GanttView[[#This Row],[_Row]])="",TRUE()),0,IF(OR(INDEX(tsk_IsLeaf,GanttView[[#This Row],[_Row]])&lt;&gt;1,GanttView[[#This Row],[_IsMilestone]],N(GanttView[[#This Row],[%]])&gt;=1),0,IF(GanttView[[#This Row],[_DoneTo]]&gt;0,GanttView[[#This Row],[_DoneTo]]+1,GanttView[[#This Row],[Forecast Start]])))</f>
        <v>0</v>
      </c>
      <c r="R178" s="123" t="n">
        <f aca="false">IF(GanttView[[#This Row],[_RemFrom]]=0,0,GanttView[[#This Row],[Forecast Finish]])</f>
        <v>0</v>
      </c>
      <c r="S178" s="122" t="b">
        <f aca="false">IF(IFERROR(INDEX(tsk_Name,GanttView[[#This Row],[_Row]])="",TRUE()),FALSE(),N(INDEX(tsk_Variance,GanttView[[#This Row],[_Row]]))&gt;0)</f>
        <v>0</v>
      </c>
      <c r="T178" s="123" t="n">
        <f aca="false">IF(IFERROR(INDEX(tsk_Name,GanttView[[#This Row],[_Row]])="",TRUE()),0,N(INDEX(tsk_Deadline,GanttView[[#This Row],[_Row]])))</f>
        <v>0</v>
      </c>
      <c r="U178" s="122"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Row],[_Row]])="",TRUE()),"",INDEX(tsk_ResourceNames,GanttView[[#This Row],[_Row]])&amp;"")</f>
        <v/>
      </c>
      <c r="K179" s="117" t="str">
        <f aca="false">IF(IFERROR(INDEX(tsk_Name,GanttView[[#This Row],[_Row]])="",TRUE()),"",INDEX(tsk_Status,GanttView[[#This Row],[_Row]]))</f>
        <v/>
      </c>
      <c r="L179" s="121" t="n">
        <f aca="false">ROW()-ROW(GanttView[[#Headers],[ID]])</f>
        <v>174</v>
      </c>
      <c r="M179" s="122" t="b">
        <f aca="false">IF(IFERROR(INDEX(tsk_Name,GanttView[[#This Row],[_Row]])="",TRUE()),FALSE(),INDEX(tsk_IsSummary,GanttView[[#This Row],[_Row]]))</f>
        <v>0</v>
      </c>
      <c r="N179" s="122" t="b">
        <f aca="false">IF(IFERROR(INDEX(tsk_Name,GanttView[[#This Row],[_Row]])="",TRUE()),FALSE(),AND(INDEX(tsk_IsLeaf,GanttView[[#This Row],[_Row]])=1,N(INDEX(tsk_Duration,GanttView[[#This Row],[_Row]]))=0))</f>
        <v>0</v>
      </c>
      <c r="O179" s="123" t="n">
        <f aca="false">IF(IFERROR(INDEX(tsk_Name,GanttView[[#This Row],[_Row]])="",TRUE()),0,IF(AND(INDEX(tsk_IsLeaf,GanttView[[#This Row],[_Row]])=1,NOT(GanttView[[#This Row],[_IsMilestone]]),N(GanttView[[#This Row],[%]])&gt;0),GanttView[[#This Row],[Forecast Start]],0))</f>
        <v>0</v>
      </c>
      <c r="P179" s="123" t="n">
        <f aca="false">IF(GanttView[[#This Row],[_DoneFrom]]=0,0,IF(GanttView[[#This Row],[%]]&gt;=1,GanttView[[#This Row],[Forecast Finish]],MAX(GanttView[[#This Row],[_DoneFrom]],GanttView[[#This Row],[Forecast Start]]+ROUND((GanttView[[#This Row],[Forecast Finish]]-GanttView[[#This Row],[Forecast Start]]+1)*GanttView[[#This Row],[%]],0)-1)))</f>
        <v>0</v>
      </c>
      <c r="Q179" s="123" t="n">
        <f aca="false">IF(IFERROR(INDEX(tsk_Name,GanttView[[#This Row],[_Row]])="",TRUE()),0,IF(OR(INDEX(tsk_IsLeaf,GanttView[[#This Row],[_Row]])&lt;&gt;1,GanttView[[#This Row],[_IsMilestone]],N(GanttView[[#This Row],[%]])&gt;=1),0,IF(GanttView[[#This Row],[_DoneTo]]&gt;0,GanttView[[#This Row],[_DoneTo]]+1,GanttView[[#This Row],[Forecast Start]])))</f>
        <v>0</v>
      </c>
      <c r="R179" s="123" t="n">
        <f aca="false">IF(GanttView[[#This Row],[_RemFrom]]=0,0,GanttView[[#This Row],[Forecast Finish]])</f>
        <v>0</v>
      </c>
      <c r="S179" s="122" t="b">
        <f aca="false">IF(IFERROR(INDEX(tsk_Name,GanttView[[#This Row],[_Row]])="",TRUE()),FALSE(),N(INDEX(tsk_Variance,GanttView[[#This Row],[_Row]]))&gt;0)</f>
        <v>0</v>
      </c>
      <c r="T179" s="123" t="n">
        <f aca="false">IF(IFERROR(INDEX(tsk_Name,GanttView[[#This Row],[_Row]])="",TRUE()),0,N(INDEX(tsk_Deadline,GanttView[[#This Row],[_Row]])))</f>
        <v>0</v>
      </c>
      <c r="U179" s="122"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Row],[_Row]])="",TRUE()),"",INDEX(tsk_ResourceNames,GanttView[[#This Row],[_Row]])&amp;"")</f>
        <v/>
      </c>
      <c r="K180" s="117" t="str">
        <f aca="false">IF(IFERROR(INDEX(tsk_Name,GanttView[[#This Row],[_Row]])="",TRUE()),"",INDEX(tsk_Status,GanttView[[#This Row],[_Row]]))</f>
        <v/>
      </c>
      <c r="L180" s="121" t="n">
        <f aca="false">ROW()-ROW(GanttView[[#Headers],[ID]])</f>
        <v>175</v>
      </c>
      <c r="M180" s="122" t="b">
        <f aca="false">IF(IFERROR(INDEX(tsk_Name,GanttView[[#This Row],[_Row]])="",TRUE()),FALSE(),INDEX(tsk_IsSummary,GanttView[[#This Row],[_Row]]))</f>
        <v>0</v>
      </c>
      <c r="N180" s="122" t="b">
        <f aca="false">IF(IFERROR(INDEX(tsk_Name,GanttView[[#This Row],[_Row]])="",TRUE()),FALSE(),AND(INDEX(tsk_IsLeaf,GanttView[[#This Row],[_Row]])=1,N(INDEX(tsk_Duration,GanttView[[#This Row],[_Row]]))=0))</f>
        <v>0</v>
      </c>
      <c r="O180" s="123" t="n">
        <f aca="false">IF(IFERROR(INDEX(tsk_Name,GanttView[[#This Row],[_Row]])="",TRUE()),0,IF(AND(INDEX(tsk_IsLeaf,GanttView[[#This Row],[_Row]])=1,NOT(GanttView[[#This Row],[_IsMilestone]]),N(GanttView[[#This Row],[%]])&gt;0),GanttView[[#This Row],[Forecast Start]],0))</f>
        <v>0</v>
      </c>
      <c r="P180" s="123" t="n">
        <f aca="false">IF(GanttView[[#This Row],[_DoneFrom]]=0,0,IF(GanttView[[#This Row],[%]]&gt;=1,GanttView[[#This Row],[Forecast Finish]],MAX(GanttView[[#This Row],[_DoneFrom]],GanttView[[#This Row],[Forecast Start]]+ROUND((GanttView[[#This Row],[Forecast Finish]]-GanttView[[#This Row],[Forecast Start]]+1)*GanttView[[#This Row],[%]],0)-1)))</f>
        <v>0</v>
      </c>
      <c r="Q180" s="123" t="n">
        <f aca="false">IF(IFERROR(INDEX(tsk_Name,GanttView[[#This Row],[_Row]])="",TRUE()),0,IF(OR(INDEX(tsk_IsLeaf,GanttView[[#This Row],[_Row]])&lt;&gt;1,GanttView[[#This Row],[_IsMilestone]],N(GanttView[[#This Row],[%]])&gt;=1),0,IF(GanttView[[#This Row],[_DoneTo]]&gt;0,GanttView[[#This Row],[_DoneTo]]+1,GanttView[[#This Row],[Forecast Start]])))</f>
        <v>0</v>
      </c>
      <c r="R180" s="123" t="n">
        <f aca="false">IF(GanttView[[#This Row],[_RemFrom]]=0,0,GanttView[[#This Row],[Forecast Finish]])</f>
        <v>0</v>
      </c>
      <c r="S180" s="122" t="b">
        <f aca="false">IF(IFERROR(INDEX(tsk_Name,GanttView[[#This Row],[_Row]])="",TRUE()),FALSE(),N(INDEX(tsk_Variance,GanttView[[#This Row],[_Row]]))&gt;0)</f>
        <v>0</v>
      </c>
      <c r="T180" s="123" t="n">
        <f aca="false">IF(IFERROR(INDEX(tsk_Name,GanttView[[#This Row],[_Row]])="",TRUE()),0,N(INDEX(tsk_Deadline,GanttView[[#This Row],[_Row]])))</f>
        <v>0</v>
      </c>
      <c r="U180" s="122"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Row],[_Row]])="",TRUE()),"",INDEX(tsk_ResourceNames,GanttView[[#This Row],[_Row]])&amp;"")</f>
        <v/>
      </c>
      <c r="K181" s="117" t="str">
        <f aca="false">IF(IFERROR(INDEX(tsk_Name,GanttView[[#This Row],[_Row]])="",TRUE()),"",INDEX(tsk_Status,GanttView[[#This Row],[_Row]]))</f>
        <v/>
      </c>
      <c r="L181" s="121" t="n">
        <f aca="false">ROW()-ROW(GanttView[[#Headers],[ID]])</f>
        <v>176</v>
      </c>
      <c r="M181" s="122" t="b">
        <f aca="false">IF(IFERROR(INDEX(tsk_Name,GanttView[[#This Row],[_Row]])="",TRUE()),FALSE(),INDEX(tsk_IsSummary,GanttView[[#This Row],[_Row]]))</f>
        <v>0</v>
      </c>
      <c r="N181" s="122" t="b">
        <f aca="false">IF(IFERROR(INDEX(tsk_Name,GanttView[[#This Row],[_Row]])="",TRUE()),FALSE(),AND(INDEX(tsk_IsLeaf,GanttView[[#This Row],[_Row]])=1,N(INDEX(tsk_Duration,GanttView[[#This Row],[_Row]]))=0))</f>
        <v>0</v>
      </c>
      <c r="O181" s="123" t="n">
        <f aca="false">IF(IFERROR(INDEX(tsk_Name,GanttView[[#This Row],[_Row]])="",TRUE()),0,IF(AND(INDEX(tsk_IsLeaf,GanttView[[#This Row],[_Row]])=1,NOT(GanttView[[#This Row],[_IsMilestone]]),N(GanttView[[#This Row],[%]])&gt;0),GanttView[[#This Row],[Forecast Start]],0))</f>
        <v>0</v>
      </c>
      <c r="P181" s="123" t="n">
        <f aca="false">IF(GanttView[[#This Row],[_DoneFrom]]=0,0,IF(GanttView[[#This Row],[%]]&gt;=1,GanttView[[#This Row],[Forecast Finish]],MAX(GanttView[[#This Row],[_DoneFrom]],GanttView[[#This Row],[Forecast Start]]+ROUND((GanttView[[#This Row],[Forecast Finish]]-GanttView[[#This Row],[Forecast Start]]+1)*GanttView[[#This Row],[%]],0)-1)))</f>
        <v>0</v>
      </c>
      <c r="Q181" s="123" t="n">
        <f aca="false">IF(IFERROR(INDEX(tsk_Name,GanttView[[#This Row],[_Row]])="",TRUE()),0,IF(OR(INDEX(tsk_IsLeaf,GanttView[[#This Row],[_Row]])&lt;&gt;1,GanttView[[#This Row],[_IsMilestone]],N(GanttView[[#This Row],[%]])&gt;=1),0,IF(GanttView[[#This Row],[_DoneTo]]&gt;0,GanttView[[#This Row],[_DoneTo]]+1,GanttView[[#This Row],[Forecast Start]])))</f>
        <v>0</v>
      </c>
      <c r="R181" s="123" t="n">
        <f aca="false">IF(GanttView[[#This Row],[_RemFrom]]=0,0,GanttView[[#This Row],[Forecast Finish]])</f>
        <v>0</v>
      </c>
      <c r="S181" s="122" t="b">
        <f aca="false">IF(IFERROR(INDEX(tsk_Name,GanttView[[#This Row],[_Row]])="",TRUE()),FALSE(),N(INDEX(tsk_Variance,GanttView[[#This Row],[_Row]]))&gt;0)</f>
        <v>0</v>
      </c>
      <c r="T181" s="123" t="n">
        <f aca="false">IF(IFERROR(INDEX(tsk_Name,GanttView[[#This Row],[_Row]])="",TRUE()),0,N(INDEX(tsk_Deadline,GanttView[[#This Row],[_Row]])))</f>
        <v>0</v>
      </c>
      <c r="U181" s="122"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Row],[_Row]])="",TRUE()),"",INDEX(tsk_ResourceNames,GanttView[[#This Row],[_Row]])&amp;"")</f>
        <v/>
      </c>
      <c r="K182" s="117" t="str">
        <f aca="false">IF(IFERROR(INDEX(tsk_Name,GanttView[[#This Row],[_Row]])="",TRUE()),"",INDEX(tsk_Status,GanttView[[#This Row],[_Row]]))</f>
        <v/>
      </c>
      <c r="L182" s="121" t="n">
        <f aca="false">ROW()-ROW(GanttView[[#Headers],[ID]])</f>
        <v>177</v>
      </c>
      <c r="M182" s="122" t="b">
        <f aca="false">IF(IFERROR(INDEX(tsk_Name,GanttView[[#This Row],[_Row]])="",TRUE()),FALSE(),INDEX(tsk_IsSummary,GanttView[[#This Row],[_Row]]))</f>
        <v>0</v>
      </c>
      <c r="N182" s="122" t="b">
        <f aca="false">IF(IFERROR(INDEX(tsk_Name,GanttView[[#This Row],[_Row]])="",TRUE()),FALSE(),AND(INDEX(tsk_IsLeaf,GanttView[[#This Row],[_Row]])=1,N(INDEX(tsk_Duration,GanttView[[#This Row],[_Row]]))=0))</f>
        <v>0</v>
      </c>
      <c r="O182" s="123" t="n">
        <f aca="false">IF(IFERROR(INDEX(tsk_Name,GanttView[[#This Row],[_Row]])="",TRUE()),0,IF(AND(INDEX(tsk_IsLeaf,GanttView[[#This Row],[_Row]])=1,NOT(GanttView[[#This Row],[_IsMilestone]]),N(GanttView[[#This Row],[%]])&gt;0),GanttView[[#This Row],[Forecast Start]],0))</f>
        <v>0</v>
      </c>
      <c r="P182" s="123" t="n">
        <f aca="false">IF(GanttView[[#This Row],[_DoneFrom]]=0,0,IF(GanttView[[#This Row],[%]]&gt;=1,GanttView[[#This Row],[Forecast Finish]],MAX(GanttView[[#This Row],[_DoneFrom]],GanttView[[#This Row],[Forecast Start]]+ROUND((GanttView[[#This Row],[Forecast Finish]]-GanttView[[#This Row],[Forecast Start]]+1)*GanttView[[#This Row],[%]],0)-1)))</f>
        <v>0</v>
      </c>
      <c r="Q182" s="123" t="n">
        <f aca="false">IF(IFERROR(INDEX(tsk_Name,GanttView[[#This Row],[_Row]])="",TRUE()),0,IF(OR(INDEX(tsk_IsLeaf,GanttView[[#This Row],[_Row]])&lt;&gt;1,GanttView[[#This Row],[_IsMilestone]],N(GanttView[[#This Row],[%]])&gt;=1),0,IF(GanttView[[#This Row],[_DoneTo]]&gt;0,GanttView[[#This Row],[_DoneTo]]+1,GanttView[[#This Row],[Forecast Start]])))</f>
        <v>0</v>
      </c>
      <c r="R182" s="123" t="n">
        <f aca="false">IF(GanttView[[#This Row],[_RemFrom]]=0,0,GanttView[[#This Row],[Forecast Finish]])</f>
        <v>0</v>
      </c>
      <c r="S182" s="122" t="b">
        <f aca="false">IF(IFERROR(INDEX(tsk_Name,GanttView[[#This Row],[_Row]])="",TRUE()),FALSE(),N(INDEX(tsk_Variance,GanttView[[#This Row],[_Row]]))&gt;0)</f>
        <v>0</v>
      </c>
      <c r="T182" s="123" t="n">
        <f aca="false">IF(IFERROR(INDEX(tsk_Name,GanttView[[#This Row],[_Row]])="",TRUE()),0,N(INDEX(tsk_Deadline,GanttView[[#This Row],[_Row]])))</f>
        <v>0</v>
      </c>
      <c r="U182" s="122"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Row],[_Row]])="",TRUE()),"",INDEX(tsk_ResourceNames,GanttView[[#This Row],[_Row]])&amp;"")</f>
        <v/>
      </c>
      <c r="K183" s="117" t="str">
        <f aca="false">IF(IFERROR(INDEX(tsk_Name,GanttView[[#This Row],[_Row]])="",TRUE()),"",INDEX(tsk_Status,GanttView[[#This Row],[_Row]]))</f>
        <v/>
      </c>
      <c r="L183" s="121" t="n">
        <f aca="false">ROW()-ROW(GanttView[[#Headers],[ID]])</f>
        <v>178</v>
      </c>
      <c r="M183" s="122" t="b">
        <f aca="false">IF(IFERROR(INDEX(tsk_Name,GanttView[[#This Row],[_Row]])="",TRUE()),FALSE(),INDEX(tsk_IsSummary,GanttView[[#This Row],[_Row]]))</f>
        <v>0</v>
      </c>
      <c r="N183" s="122" t="b">
        <f aca="false">IF(IFERROR(INDEX(tsk_Name,GanttView[[#This Row],[_Row]])="",TRUE()),FALSE(),AND(INDEX(tsk_IsLeaf,GanttView[[#This Row],[_Row]])=1,N(INDEX(tsk_Duration,GanttView[[#This Row],[_Row]]))=0))</f>
        <v>0</v>
      </c>
      <c r="O183" s="123" t="n">
        <f aca="false">IF(IFERROR(INDEX(tsk_Name,GanttView[[#This Row],[_Row]])="",TRUE()),0,IF(AND(INDEX(tsk_IsLeaf,GanttView[[#This Row],[_Row]])=1,NOT(GanttView[[#This Row],[_IsMilestone]]),N(GanttView[[#This Row],[%]])&gt;0),GanttView[[#This Row],[Forecast Start]],0))</f>
        <v>0</v>
      </c>
      <c r="P183" s="123" t="n">
        <f aca="false">IF(GanttView[[#This Row],[_DoneFrom]]=0,0,IF(GanttView[[#This Row],[%]]&gt;=1,GanttView[[#This Row],[Forecast Finish]],MAX(GanttView[[#This Row],[_DoneFrom]],GanttView[[#This Row],[Forecast Start]]+ROUND((GanttView[[#This Row],[Forecast Finish]]-GanttView[[#This Row],[Forecast Start]]+1)*GanttView[[#This Row],[%]],0)-1)))</f>
        <v>0</v>
      </c>
      <c r="Q183" s="123" t="n">
        <f aca="false">IF(IFERROR(INDEX(tsk_Name,GanttView[[#This Row],[_Row]])="",TRUE()),0,IF(OR(INDEX(tsk_IsLeaf,GanttView[[#This Row],[_Row]])&lt;&gt;1,GanttView[[#This Row],[_IsMilestone]],N(GanttView[[#This Row],[%]])&gt;=1),0,IF(GanttView[[#This Row],[_DoneTo]]&gt;0,GanttView[[#This Row],[_DoneTo]]+1,GanttView[[#This Row],[Forecast Start]])))</f>
        <v>0</v>
      </c>
      <c r="R183" s="123" t="n">
        <f aca="false">IF(GanttView[[#This Row],[_RemFrom]]=0,0,GanttView[[#This Row],[Forecast Finish]])</f>
        <v>0</v>
      </c>
      <c r="S183" s="122" t="b">
        <f aca="false">IF(IFERROR(INDEX(tsk_Name,GanttView[[#This Row],[_Row]])="",TRUE()),FALSE(),N(INDEX(tsk_Variance,GanttView[[#This Row],[_Row]]))&gt;0)</f>
        <v>0</v>
      </c>
      <c r="T183" s="123" t="n">
        <f aca="false">IF(IFERROR(INDEX(tsk_Name,GanttView[[#This Row],[_Row]])="",TRUE()),0,N(INDEX(tsk_Deadline,GanttView[[#This Row],[_Row]])))</f>
        <v>0</v>
      </c>
      <c r="U183" s="122"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Row],[_Row]])="",TRUE()),"",INDEX(tsk_ResourceNames,GanttView[[#This Row],[_Row]])&amp;"")</f>
        <v/>
      </c>
      <c r="K184" s="117" t="str">
        <f aca="false">IF(IFERROR(INDEX(tsk_Name,GanttView[[#This Row],[_Row]])="",TRUE()),"",INDEX(tsk_Status,GanttView[[#This Row],[_Row]]))</f>
        <v/>
      </c>
      <c r="L184" s="121" t="n">
        <f aca="false">ROW()-ROW(GanttView[[#Headers],[ID]])</f>
        <v>179</v>
      </c>
      <c r="M184" s="122" t="b">
        <f aca="false">IF(IFERROR(INDEX(tsk_Name,GanttView[[#This Row],[_Row]])="",TRUE()),FALSE(),INDEX(tsk_IsSummary,GanttView[[#This Row],[_Row]]))</f>
        <v>0</v>
      </c>
      <c r="N184" s="122" t="b">
        <f aca="false">IF(IFERROR(INDEX(tsk_Name,GanttView[[#This Row],[_Row]])="",TRUE()),FALSE(),AND(INDEX(tsk_IsLeaf,GanttView[[#This Row],[_Row]])=1,N(INDEX(tsk_Duration,GanttView[[#This Row],[_Row]]))=0))</f>
        <v>0</v>
      </c>
      <c r="O184" s="123" t="n">
        <f aca="false">IF(IFERROR(INDEX(tsk_Name,GanttView[[#This Row],[_Row]])="",TRUE()),0,IF(AND(INDEX(tsk_IsLeaf,GanttView[[#This Row],[_Row]])=1,NOT(GanttView[[#This Row],[_IsMilestone]]),N(GanttView[[#This Row],[%]])&gt;0),GanttView[[#This Row],[Forecast Start]],0))</f>
        <v>0</v>
      </c>
      <c r="P184" s="123" t="n">
        <f aca="false">IF(GanttView[[#This Row],[_DoneFrom]]=0,0,IF(GanttView[[#This Row],[%]]&gt;=1,GanttView[[#This Row],[Forecast Finish]],MAX(GanttView[[#This Row],[_DoneFrom]],GanttView[[#This Row],[Forecast Start]]+ROUND((GanttView[[#This Row],[Forecast Finish]]-GanttView[[#This Row],[Forecast Start]]+1)*GanttView[[#This Row],[%]],0)-1)))</f>
        <v>0</v>
      </c>
      <c r="Q184" s="123" t="n">
        <f aca="false">IF(IFERROR(INDEX(tsk_Name,GanttView[[#This Row],[_Row]])="",TRUE()),0,IF(OR(INDEX(tsk_IsLeaf,GanttView[[#This Row],[_Row]])&lt;&gt;1,GanttView[[#This Row],[_IsMilestone]],N(GanttView[[#This Row],[%]])&gt;=1),0,IF(GanttView[[#This Row],[_DoneTo]]&gt;0,GanttView[[#This Row],[_DoneTo]]+1,GanttView[[#This Row],[Forecast Start]])))</f>
        <v>0</v>
      </c>
      <c r="R184" s="123" t="n">
        <f aca="false">IF(GanttView[[#This Row],[_RemFrom]]=0,0,GanttView[[#This Row],[Forecast Finish]])</f>
        <v>0</v>
      </c>
      <c r="S184" s="122" t="b">
        <f aca="false">IF(IFERROR(INDEX(tsk_Name,GanttView[[#This Row],[_Row]])="",TRUE()),FALSE(),N(INDEX(tsk_Variance,GanttView[[#This Row],[_Row]]))&gt;0)</f>
        <v>0</v>
      </c>
      <c r="T184" s="123" t="n">
        <f aca="false">IF(IFERROR(INDEX(tsk_Name,GanttView[[#This Row],[_Row]])="",TRUE()),0,N(INDEX(tsk_Deadline,GanttView[[#This Row],[_Row]])))</f>
        <v>0</v>
      </c>
      <c r="U184" s="122"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Row],[_Row]])="",TRUE()),"",INDEX(tsk_ResourceNames,GanttView[[#This Row],[_Row]])&amp;"")</f>
        <v/>
      </c>
      <c r="K185" s="117" t="str">
        <f aca="false">IF(IFERROR(INDEX(tsk_Name,GanttView[[#This Row],[_Row]])="",TRUE()),"",INDEX(tsk_Status,GanttView[[#This Row],[_Row]]))</f>
        <v/>
      </c>
      <c r="L185" s="121" t="n">
        <f aca="false">ROW()-ROW(GanttView[[#Headers],[ID]])</f>
        <v>180</v>
      </c>
      <c r="M185" s="122" t="b">
        <f aca="false">IF(IFERROR(INDEX(tsk_Name,GanttView[[#This Row],[_Row]])="",TRUE()),FALSE(),INDEX(tsk_IsSummary,GanttView[[#This Row],[_Row]]))</f>
        <v>0</v>
      </c>
      <c r="N185" s="122" t="b">
        <f aca="false">IF(IFERROR(INDEX(tsk_Name,GanttView[[#This Row],[_Row]])="",TRUE()),FALSE(),AND(INDEX(tsk_IsLeaf,GanttView[[#This Row],[_Row]])=1,N(INDEX(tsk_Duration,GanttView[[#This Row],[_Row]]))=0))</f>
        <v>0</v>
      </c>
      <c r="O185" s="123" t="n">
        <f aca="false">IF(IFERROR(INDEX(tsk_Name,GanttView[[#This Row],[_Row]])="",TRUE()),0,IF(AND(INDEX(tsk_IsLeaf,GanttView[[#This Row],[_Row]])=1,NOT(GanttView[[#This Row],[_IsMilestone]]),N(GanttView[[#This Row],[%]])&gt;0),GanttView[[#This Row],[Forecast Start]],0))</f>
        <v>0</v>
      </c>
      <c r="P185" s="123" t="n">
        <f aca="false">IF(GanttView[[#This Row],[_DoneFrom]]=0,0,IF(GanttView[[#This Row],[%]]&gt;=1,GanttView[[#This Row],[Forecast Finish]],MAX(GanttView[[#This Row],[_DoneFrom]],GanttView[[#This Row],[Forecast Start]]+ROUND((GanttView[[#This Row],[Forecast Finish]]-GanttView[[#This Row],[Forecast Start]]+1)*GanttView[[#This Row],[%]],0)-1)))</f>
        <v>0</v>
      </c>
      <c r="Q185" s="123" t="n">
        <f aca="false">IF(IFERROR(INDEX(tsk_Name,GanttView[[#This Row],[_Row]])="",TRUE()),0,IF(OR(INDEX(tsk_IsLeaf,GanttView[[#This Row],[_Row]])&lt;&gt;1,GanttView[[#This Row],[_IsMilestone]],N(GanttView[[#This Row],[%]])&gt;=1),0,IF(GanttView[[#This Row],[_DoneTo]]&gt;0,GanttView[[#This Row],[_DoneTo]]+1,GanttView[[#This Row],[Forecast Start]])))</f>
        <v>0</v>
      </c>
      <c r="R185" s="123" t="n">
        <f aca="false">IF(GanttView[[#This Row],[_RemFrom]]=0,0,GanttView[[#This Row],[Forecast Finish]])</f>
        <v>0</v>
      </c>
      <c r="S185" s="122" t="b">
        <f aca="false">IF(IFERROR(INDEX(tsk_Name,GanttView[[#This Row],[_Row]])="",TRUE()),FALSE(),N(INDEX(tsk_Variance,GanttView[[#This Row],[_Row]]))&gt;0)</f>
        <v>0</v>
      </c>
      <c r="T185" s="123" t="n">
        <f aca="false">IF(IFERROR(INDEX(tsk_Name,GanttView[[#This Row],[_Row]])="",TRUE()),0,N(INDEX(tsk_Deadline,GanttView[[#This Row],[_Row]])))</f>
        <v>0</v>
      </c>
      <c r="U185" s="122"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Row],[_Row]])="",TRUE()),"",INDEX(tsk_ResourceNames,GanttView[[#This Row],[_Row]])&amp;"")</f>
        <v/>
      </c>
      <c r="K186" s="117" t="str">
        <f aca="false">IF(IFERROR(INDEX(tsk_Name,GanttView[[#This Row],[_Row]])="",TRUE()),"",INDEX(tsk_Status,GanttView[[#This Row],[_Row]]))</f>
        <v/>
      </c>
      <c r="L186" s="121" t="n">
        <f aca="false">ROW()-ROW(GanttView[[#Headers],[ID]])</f>
        <v>181</v>
      </c>
      <c r="M186" s="122" t="b">
        <f aca="false">IF(IFERROR(INDEX(tsk_Name,GanttView[[#This Row],[_Row]])="",TRUE()),FALSE(),INDEX(tsk_IsSummary,GanttView[[#This Row],[_Row]]))</f>
        <v>0</v>
      </c>
      <c r="N186" s="122" t="b">
        <f aca="false">IF(IFERROR(INDEX(tsk_Name,GanttView[[#This Row],[_Row]])="",TRUE()),FALSE(),AND(INDEX(tsk_IsLeaf,GanttView[[#This Row],[_Row]])=1,N(INDEX(tsk_Duration,GanttView[[#This Row],[_Row]]))=0))</f>
        <v>0</v>
      </c>
      <c r="O186" s="123" t="n">
        <f aca="false">IF(IFERROR(INDEX(tsk_Name,GanttView[[#This Row],[_Row]])="",TRUE()),0,IF(AND(INDEX(tsk_IsLeaf,GanttView[[#This Row],[_Row]])=1,NOT(GanttView[[#This Row],[_IsMilestone]]),N(GanttView[[#This Row],[%]])&gt;0),GanttView[[#This Row],[Forecast Start]],0))</f>
        <v>0</v>
      </c>
      <c r="P186" s="123" t="n">
        <f aca="false">IF(GanttView[[#This Row],[_DoneFrom]]=0,0,IF(GanttView[[#This Row],[%]]&gt;=1,GanttView[[#This Row],[Forecast Finish]],MAX(GanttView[[#This Row],[_DoneFrom]],GanttView[[#This Row],[Forecast Start]]+ROUND((GanttView[[#This Row],[Forecast Finish]]-GanttView[[#This Row],[Forecast Start]]+1)*GanttView[[#This Row],[%]],0)-1)))</f>
        <v>0</v>
      </c>
      <c r="Q186" s="123" t="n">
        <f aca="false">IF(IFERROR(INDEX(tsk_Name,GanttView[[#This Row],[_Row]])="",TRUE()),0,IF(OR(INDEX(tsk_IsLeaf,GanttView[[#This Row],[_Row]])&lt;&gt;1,GanttView[[#This Row],[_IsMilestone]],N(GanttView[[#This Row],[%]])&gt;=1),0,IF(GanttView[[#This Row],[_DoneTo]]&gt;0,GanttView[[#This Row],[_DoneTo]]+1,GanttView[[#This Row],[Forecast Start]])))</f>
        <v>0</v>
      </c>
      <c r="R186" s="123" t="n">
        <f aca="false">IF(GanttView[[#This Row],[_RemFrom]]=0,0,GanttView[[#This Row],[Forecast Finish]])</f>
        <v>0</v>
      </c>
      <c r="S186" s="122" t="b">
        <f aca="false">IF(IFERROR(INDEX(tsk_Name,GanttView[[#This Row],[_Row]])="",TRUE()),FALSE(),N(INDEX(tsk_Variance,GanttView[[#This Row],[_Row]]))&gt;0)</f>
        <v>0</v>
      </c>
      <c r="T186" s="123" t="n">
        <f aca="false">IF(IFERROR(INDEX(tsk_Name,GanttView[[#This Row],[_Row]])="",TRUE()),0,N(INDEX(tsk_Deadline,GanttView[[#This Row],[_Row]])))</f>
        <v>0</v>
      </c>
      <c r="U186" s="122"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Row],[_Row]])="",TRUE()),"",INDEX(tsk_ResourceNames,GanttView[[#This Row],[_Row]])&amp;"")</f>
        <v/>
      </c>
      <c r="K187" s="117" t="str">
        <f aca="false">IF(IFERROR(INDEX(tsk_Name,GanttView[[#This Row],[_Row]])="",TRUE()),"",INDEX(tsk_Status,GanttView[[#This Row],[_Row]]))</f>
        <v/>
      </c>
      <c r="L187" s="121" t="n">
        <f aca="false">ROW()-ROW(GanttView[[#Headers],[ID]])</f>
        <v>182</v>
      </c>
      <c r="M187" s="122" t="b">
        <f aca="false">IF(IFERROR(INDEX(tsk_Name,GanttView[[#This Row],[_Row]])="",TRUE()),FALSE(),INDEX(tsk_IsSummary,GanttView[[#This Row],[_Row]]))</f>
        <v>0</v>
      </c>
      <c r="N187" s="122" t="b">
        <f aca="false">IF(IFERROR(INDEX(tsk_Name,GanttView[[#This Row],[_Row]])="",TRUE()),FALSE(),AND(INDEX(tsk_IsLeaf,GanttView[[#This Row],[_Row]])=1,N(INDEX(tsk_Duration,GanttView[[#This Row],[_Row]]))=0))</f>
        <v>0</v>
      </c>
      <c r="O187" s="123" t="n">
        <f aca="false">IF(IFERROR(INDEX(tsk_Name,GanttView[[#This Row],[_Row]])="",TRUE()),0,IF(AND(INDEX(tsk_IsLeaf,GanttView[[#This Row],[_Row]])=1,NOT(GanttView[[#This Row],[_IsMilestone]]),N(GanttView[[#This Row],[%]])&gt;0),GanttView[[#This Row],[Forecast Start]],0))</f>
        <v>0</v>
      </c>
      <c r="P187" s="123" t="n">
        <f aca="false">IF(GanttView[[#This Row],[_DoneFrom]]=0,0,IF(GanttView[[#This Row],[%]]&gt;=1,GanttView[[#This Row],[Forecast Finish]],MAX(GanttView[[#This Row],[_DoneFrom]],GanttView[[#This Row],[Forecast Start]]+ROUND((GanttView[[#This Row],[Forecast Finish]]-GanttView[[#This Row],[Forecast Start]]+1)*GanttView[[#This Row],[%]],0)-1)))</f>
        <v>0</v>
      </c>
      <c r="Q187" s="123" t="n">
        <f aca="false">IF(IFERROR(INDEX(tsk_Name,GanttView[[#This Row],[_Row]])="",TRUE()),0,IF(OR(INDEX(tsk_IsLeaf,GanttView[[#This Row],[_Row]])&lt;&gt;1,GanttView[[#This Row],[_IsMilestone]],N(GanttView[[#This Row],[%]])&gt;=1),0,IF(GanttView[[#This Row],[_DoneTo]]&gt;0,GanttView[[#This Row],[_DoneTo]]+1,GanttView[[#This Row],[Forecast Start]])))</f>
        <v>0</v>
      </c>
      <c r="R187" s="123" t="n">
        <f aca="false">IF(GanttView[[#This Row],[_RemFrom]]=0,0,GanttView[[#This Row],[Forecast Finish]])</f>
        <v>0</v>
      </c>
      <c r="S187" s="122" t="b">
        <f aca="false">IF(IFERROR(INDEX(tsk_Name,GanttView[[#This Row],[_Row]])="",TRUE()),FALSE(),N(INDEX(tsk_Variance,GanttView[[#This Row],[_Row]]))&gt;0)</f>
        <v>0</v>
      </c>
      <c r="T187" s="123" t="n">
        <f aca="false">IF(IFERROR(INDEX(tsk_Name,GanttView[[#This Row],[_Row]])="",TRUE()),0,N(INDEX(tsk_Deadline,GanttView[[#This Row],[_Row]])))</f>
        <v>0</v>
      </c>
      <c r="U187" s="122"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Row],[_Row]])="",TRUE()),"",INDEX(tsk_ResourceNames,GanttView[[#This Row],[_Row]])&amp;"")</f>
        <v/>
      </c>
      <c r="K188" s="117" t="str">
        <f aca="false">IF(IFERROR(INDEX(tsk_Name,GanttView[[#This Row],[_Row]])="",TRUE()),"",INDEX(tsk_Status,GanttView[[#This Row],[_Row]]))</f>
        <v/>
      </c>
      <c r="L188" s="121" t="n">
        <f aca="false">ROW()-ROW(GanttView[[#Headers],[ID]])</f>
        <v>183</v>
      </c>
      <c r="M188" s="122" t="b">
        <f aca="false">IF(IFERROR(INDEX(tsk_Name,GanttView[[#This Row],[_Row]])="",TRUE()),FALSE(),INDEX(tsk_IsSummary,GanttView[[#This Row],[_Row]]))</f>
        <v>0</v>
      </c>
      <c r="N188" s="122" t="b">
        <f aca="false">IF(IFERROR(INDEX(tsk_Name,GanttView[[#This Row],[_Row]])="",TRUE()),FALSE(),AND(INDEX(tsk_IsLeaf,GanttView[[#This Row],[_Row]])=1,N(INDEX(tsk_Duration,GanttView[[#This Row],[_Row]]))=0))</f>
        <v>0</v>
      </c>
      <c r="O188" s="123" t="n">
        <f aca="false">IF(IFERROR(INDEX(tsk_Name,GanttView[[#This Row],[_Row]])="",TRUE()),0,IF(AND(INDEX(tsk_IsLeaf,GanttView[[#This Row],[_Row]])=1,NOT(GanttView[[#This Row],[_IsMilestone]]),N(GanttView[[#This Row],[%]])&gt;0),GanttView[[#This Row],[Forecast Start]],0))</f>
        <v>0</v>
      </c>
      <c r="P188" s="123" t="n">
        <f aca="false">IF(GanttView[[#This Row],[_DoneFrom]]=0,0,IF(GanttView[[#This Row],[%]]&gt;=1,GanttView[[#This Row],[Forecast Finish]],MAX(GanttView[[#This Row],[_DoneFrom]],GanttView[[#This Row],[Forecast Start]]+ROUND((GanttView[[#This Row],[Forecast Finish]]-GanttView[[#This Row],[Forecast Start]]+1)*GanttView[[#This Row],[%]],0)-1)))</f>
        <v>0</v>
      </c>
      <c r="Q188" s="123" t="n">
        <f aca="false">IF(IFERROR(INDEX(tsk_Name,GanttView[[#This Row],[_Row]])="",TRUE()),0,IF(OR(INDEX(tsk_IsLeaf,GanttView[[#This Row],[_Row]])&lt;&gt;1,GanttView[[#This Row],[_IsMilestone]],N(GanttView[[#This Row],[%]])&gt;=1),0,IF(GanttView[[#This Row],[_DoneTo]]&gt;0,GanttView[[#This Row],[_DoneTo]]+1,GanttView[[#This Row],[Forecast Start]])))</f>
        <v>0</v>
      </c>
      <c r="R188" s="123" t="n">
        <f aca="false">IF(GanttView[[#This Row],[_RemFrom]]=0,0,GanttView[[#This Row],[Forecast Finish]])</f>
        <v>0</v>
      </c>
      <c r="S188" s="122" t="b">
        <f aca="false">IF(IFERROR(INDEX(tsk_Name,GanttView[[#This Row],[_Row]])="",TRUE()),FALSE(),N(INDEX(tsk_Variance,GanttView[[#This Row],[_Row]]))&gt;0)</f>
        <v>0</v>
      </c>
      <c r="T188" s="123" t="n">
        <f aca="false">IF(IFERROR(INDEX(tsk_Name,GanttView[[#This Row],[_Row]])="",TRUE()),0,N(INDEX(tsk_Deadline,GanttView[[#This Row],[_Row]])))</f>
        <v>0</v>
      </c>
      <c r="U188" s="122"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Row],[_Row]])="",TRUE()),"",INDEX(tsk_ResourceNames,GanttView[[#This Row],[_Row]])&amp;"")</f>
        <v/>
      </c>
      <c r="K189" s="117" t="str">
        <f aca="false">IF(IFERROR(INDEX(tsk_Name,GanttView[[#This Row],[_Row]])="",TRUE()),"",INDEX(tsk_Status,GanttView[[#This Row],[_Row]]))</f>
        <v/>
      </c>
      <c r="L189" s="121" t="n">
        <f aca="false">ROW()-ROW(GanttView[[#Headers],[ID]])</f>
        <v>184</v>
      </c>
      <c r="M189" s="122" t="b">
        <f aca="false">IF(IFERROR(INDEX(tsk_Name,GanttView[[#This Row],[_Row]])="",TRUE()),FALSE(),INDEX(tsk_IsSummary,GanttView[[#This Row],[_Row]]))</f>
        <v>0</v>
      </c>
      <c r="N189" s="122" t="b">
        <f aca="false">IF(IFERROR(INDEX(tsk_Name,GanttView[[#This Row],[_Row]])="",TRUE()),FALSE(),AND(INDEX(tsk_IsLeaf,GanttView[[#This Row],[_Row]])=1,N(INDEX(tsk_Duration,GanttView[[#This Row],[_Row]]))=0))</f>
        <v>0</v>
      </c>
      <c r="O189" s="123" t="n">
        <f aca="false">IF(IFERROR(INDEX(tsk_Name,GanttView[[#This Row],[_Row]])="",TRUE()),0,IF(AND(INDEX(tsk_IsLeaf,GanttView[[#This Row],[_Row]])=1,NOT(GanttView[[#This Row],[_IsMilestone]]),N(GanttView[[#This Row],[%]])&gt;0),GanttView[[#This Row],[Forecast Start]],0))</f>
        <v>0</v>
      </c>
      <c r="P189" s="123" t="n">
        <f aca="false">IF(GanttView[[#This Row],[_DoneFrom]]=0,0,IF(GanttView[[#This Row],[%]]&gt;=1,GanttView[[#This Row],[Forecast Finish]],MAX(GanttView[[#This Row],[_DoneFrom]],GanttView[[#This Row],[Forecast Start]]+ROUND((GanttView[[#This Row],[Forecast Finish]]-GanttView[[#This Row],[Forecast Start]]+1)*GanttView[[#This Row],[%]],0)-1)))</f>
        <v>0</v>
      </c>
      <c r="Q189" s="123" t="n">
        <f aca="false">IF(IFERROR(INDEX(tsk_Name,GanttView[[#This Row],[_Row]])="",TRUE()),0,IF(OR(INDEX(tsk_IsLeaf,GanttView[[#This Row],[_Row]])&lt;&gt;1,GanttView[[#This Row],[_IsMilestone]],N(GanttView[[#This Row],[%]])&gt;=1),0,IF(GanttView[[#This Row],[_DoneTo]]&gt;0,GanttView[[#This Row],[_DoneTo]]+1,GanttView[[#This Row],[Forecast Start]])))</f>
        <v>0</v>
      </c>
      <c r="R189" s="123" t="n">
        <f aca="false">IF(GanttView[[#This Row],[_RemFrom]]=0,0,GanttView[[#This Row],[Forecast Finish]])</f>
        <v>0</v>
      </c>
      <c r="S189" s="122" t="b">
        <f aca="false">IF(IFERROR(INDEX(tsk_Name,GanttView[[#This Row],[_Row]])="",TRUE()),FALSE(),N(INDEX(tsk_Variance,GanttView[[#This Row],[_Row]]))&gt;0)</f>
        <v>0</v>
      </c>
      <c r="T189" s="123" t="n">
        <f aca="false">IF(IFERROR(INDEX(tsk_Name,GanttView[[#This Row],[_Row]])="",TRUE()),0,N(INDEX(tsk_Deadline,GanttView[[#This Row],[_Row]])))</f>
        <v>0</v>
      </c>
      <c r="U189" s="122"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Row],[_Row]])="",TRUE()),"",INDEX(tsk_ResourceNames,GanttView[[#This Row],[_Row]])&amp;"")</f>
        <v/>
      </c>
      <c r="K190" s="117" t="str">
        <f aca="false">IF(IFERROR(INDEX(tsk_Name,GanttView[[#This Row],[_Row]])="",TRUE()),"",INDEX(tsk_Status,GanttView[[#This Row],[_Row]]))</f>
        <v/>
      </c>
      <c r="L190" s="121" t="n">
        <f aca="false">ROW()-ROW(GanttView[[#Headers],[ID]])</f>
        <v>185</v>
      </c>
      <c r="M190" s="122" t="b">
        <f aca="false">IF(IFERROR(INDEX(tsk_Name,GanttView[[#This Row],[_Row]])="",TRUE()),FALSE(),INDEX(tsk_IsSummary,GanttView[[#This Row],[_Row]]))</f>
        <v>0</v>
      </c>
      <c r="N190" s="122" t="b">
        <f aca="false">IF(IFERROR(INDEX(tsk_Name,GanttView[[#This Row],[_Row]])="",TRUE()),FALSE(),AND(INDEX(tsk_IsLeaf,GanttView[[#This Row],[_Row]])=1,N(INDEX(tsk_Duration,GanttView[[#This Row],[_Row]]))=0))</f>
        <v>0</v>
      </c>
      <c r="O190" s="123" t="n">
        <f aca="false">IF(IFERROR(INDEX(tsk_Name,GanttView[[#This Row],[_Row]])="",TRUE()),0,IF(AND(INDEX(tsk_IsLeaf,GanttView[[#This Row],[_Row]])=1,NOT(GanttView[[#This Row],[_IsMilestone]]),N(GanttView[[#This Row],[%]])&gt;0),GanttView[[#This Row],[Forecast Start]],0))</f>
        <v>0</v>
      </c>
      <c r="P190" s="123" t="n">
        <f aca="false">IF(GanttView[[#This Row],[_DoneFrom]]=0,0,IF(GanttView[[#This Row],[%]]&gt;=1,GanttView[[#This Row],[Forecast Finish]],MAX(GanttView[[#This Row],[_DoneFrom]],GanttView[[#This Row],[Forecast Start]]+ROUND((GanttView[[#This Row],[Forecast Finish]]-GanttView[[#This Row],[Forecast Start]]+1)*GanttView[[#This Row],[%]],0)-1)))</f>
        <v>0</v>
      </c>
      <c r="Q190" s="123" t="n">
        <f aca="false">IF(IFERROR(INDEX(tsk_Name,GanttView[[#This Row],[_Row]])="",TRUE()),0,IF(OR(INDEX(tsk_IsLeaf,GanttView[[#This Row],[_Row]])&lt;&gt;1,GanttView[[#This Row],[_IsMilestone]],N(GanttView[[#This Row],[%]])&gt;=1),0,IF(GanttView[[#This Row],[_DoneTo]]&gt;0,GanttView[[#This Row],[_DoneTo]]+1,GanttView[[#This Row],[Forecast Start]])))</f>
        <v>0</v>
      </c>
      <c r="R190" s="123" t="n">
        <f aca="false">IF(GanttView[[#This Row],[_RemFrom]]=0,0,GanttView[[#This Row],[Forecast Finish]])</f>
        <v>0</v>
      </c>
      <c r="S190" s="122" t="b">
        <f aca="false">IF(IFERROR(INDEX(tsk_Name,GanttView[[#This Row],[_Row]])="",TRUE()),FALSE(),N(INDEX(tsk_Variance,GanttView[[#This Row],[_Row]]))&gt;0)</f>
        <v>0</v>
      </c>
      <c r="T190" s="123" t="n">
        <f aca="false">IF(IFERROR(INDEX(tsk_Name,GanttView[[#This Row],[_Row]])="",TRUE()),0,N(INDEX(tsk_Deadline,GanttView[[#This Row],[_Row]])))</f>
        <v>0</v>
      </c>
      <c r="U190" s="122"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Row],[_Row]])="",TRUE()),"",INDEX(tsk_ResourceNames,GanttView[[#This Row],[_Row]])&amp;"")</f>
        <v/>
      </c>
      <c r="K191" s="117" t="str">
        <f aca="false">IF(IFERROR(INDEX(tsk_Name,GanttView[[#This Row],[_Row]])="",TRUE()),"",INDEX(tsk_Status,GanttView[[#This Row],[_Row]]))</f>
        <v/>
      </c>
      <c r="L191" s="121" t="n">
        <f aca="false">ROW()-ROW(GanttView[[#Headers],[ID]])</f>
        <v>186</v>
      </c>
      <c r="M191" s="122" t="b">
        <f aca="false">IF(IFERROR(INDEX(tsk_Name,GanttView[[#This Row],[_Row]])="",TRUE()),FALSE(),INDEX(tsk_IsSummary,GanttView[[#This Row],[_Row]]))</f>
        <v>0</v>
      </c>
      <c r="N191" s="122" t="b">
        <f aca="false">IF(IFERROR(INDEX(tsk_Name,GanttView[[#This Row],[_Row]])="",TRUE()),FALSE(),AND(INDEX(tsk_IsLeaf,GanttView[[#This Row],[_Row]])=1,N(INDEX(tsk_Duration,GanttView[[#This Row],[_Row]]))=0))</f>
        <v>0</v>
      </c>
      <c r="O191" s="123" t="n">
        <f aca="false">IF(IFERROR(INDEX(tsk_Name,GanttView[[#This Row],[_Row]])="",TRUE()),0,IF(AND(INDEX(tsk_IsLeaf,GanttView[[#This Row],[_Row]])=1,NOT(GanttView[[#This Row],[_IsMilestone]]),N(GanttView[[#This Row],[%]])&gt;0),GanttView[[#This Row],[Forecast Start]],0))</f>
        <v>0</v>
      </c>
      <c r="P191" s="123" t="n">
        <f aca="false">IF(GanttView[[#This Row],[_DoneFrom]]=0,0,IF(GanttView[[#This Row],[%]]&gt;=1,GanttView[[#This Row],[Forecast Finish]],MAX(GanttView[[#This Row],[_DoneFrom]],GanttView[[#This Row],[Forecast Start]]+ROUND((GanttView[[#This Row],[Forecast Finish]]-GanttView[[#This Row],[Forecast Start]]+1)*GanttView[[#This Row],[%]],0)-1)))</f>
        <v>0</v>
      </c>
      <c r="Q191" s="123" t="n">
        <f aca="false">IF(IFERROR(INDEX(tsk_Name,GanttView[[#This Row],[_Row]])="",TRUE()),0,IF(OR(INDEX(tsk_IsLeaf,GanttView[[#This Row],[_Row]])&lt;&gt;1,GanttView[[#This Row],[_IsMilestone]],N(GanttView[[#This Row],[%]])&gt;=1),0,IF(GanttView[[#This Row],[_DoneTo]]&gt;0,GanttView[[#This Row],[_DoneTo]]+1,GanttView[[#This Row],[Forecast Start]])))</f>
        <v>0</v>
      </c>
      <c r="R191" s="123" t="n">
        <f aca="false">IF(GanttView[[#This Row],[_RemFrom]]=0,0,GanttView[[#This Row],[Forecast Finish]])</f>
        <v>0</v>
      </c>
      <c r="S191" s="122" t="b">
        <f aca="false">IF(IFERROR(INDEX(tsk_Name,GanttView[[#This Row],[_Row]])="",TRUE()),FALSE(),N(INDEX(tsk_Variance,GanttView[[#This Row],[_Row]]))&gt;0)</f>
        <v>0</v>
      </c>
      <c r="T191" s="123" t="n">
        <f aca="false">IF(IFERROR(INDEX(tsk_Name,GanttView[[#This Row],[_Row]])="",TRUE()),0,N(INDEX(tsk_Deadline,GanttView[[#This Row],[_Row]])))</f>
        <v>0</v>
      </c>
      <c r="U191" s="122"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Row],[_Row]])="",TRUE()),"",INDEX(tsk_ResourceNames,GanttView[[#This Row],[_Row]])&amp;"")</f>
        <v/>
      </c>
      <c r="K192" s="117" t="str">
        <f aca="false">IF(IFERROR(INDEX(tsk_Name,GanttView[[#This Row],[_Row]])="",TRUE()),"",INDEX(tsk_Status,GanttView[[#This Row],[_Row]]))</f>
        <v/>
      </c>
      <c r="L192" s="121" t="n">
        <f aca="false">ROW()-ROW(GanttView[[#Headers],[ID]])</f>
        <v>187</v>
      </c>
      <c r="M192" s="122" t="b">
        <f aca="false">IF(IFERROR(INDEX(tsk_Name,GanttView[[#This Row],[_Row]])="",TRUE()),FALSE(),INDEX(tsk_IsSummary,GanttView[[#This Row],[_Row]]))</f>
        <v>0</v>
      </c>
      <c r="N192" s="122" t="b">
        <f aca="false">IF(IFERROR(INDEX(tsk_Name,GanttView[[#This Row],[_Row]])="",TRUE()),FALSE(),AND(INDEX(tsk_IsLeaf,GanttView[[#This Row],[_Row]])=1,N(INDEX(tsk_Duration,GanttView[[#This Row],[_Row]]))=0))</f>
        <v>0</v>
      </c>
      <c r="O192" s="123" t="n">
        <f aca="false">IF(IFERROR(INDEX(tsk_Name,GanttView[[#This Row],[_Row]])="",TRUE()),0,IF(AND(INDEX(tsk_IsLeaf,GanttView[[#This Row],[_Row]])=1,NOT(GanttView[[#This Row],[_IsMilestone]]),N(GanttView[[#This Row],[%]])&gt;0),GanttView[[#This Row],[Forecast Start]],0))</f>
        <v>0</v>
      </c>
      <c r="P192" s="123" t="n">
        <f aca="false">IF(GanttView[[#This Row],[_DoneFrom]]=0,0,IF(GanttView[[#This Row],[%]]&gt;=1,GanttView[[#This Row],[Forecast Finish]],MAX(GanttView[[#This Row],[_DoneFrom]],GanttView[[#This Row],[Forecast Start]]+ROUND((GanttView[[#This Row],[Forecast Finish]]-GanttView[[#This Row],[Forecast Start]]+1)*GanttView[[#This Row],[%]],0)-1)))</f>
        <v>0</v>
      </c>
      <c r="Q192" s="123" t="n">
        <f aca="false">IF(IFERROR(INDEX(tsk_Name,GanttView[[#This Row],[_Row]])="",TRUE()),0,IF(OR(INDEX(tsk_IsLeaf,GanttView[[#This Row],[_Row]])&lt;&gt;1,GanttView[[#This Row],[_IsMilestone]],N(GanttView[[#This Row],[%]])&gt;=1),0,IF(GanttView[[#This Row],[_DoneTo]]&gt;0,GanttView[[#This Row],[_DoneTo]]+1,GanttView[[#This Row],[Forecast Start]])))</f>
        <v>0</v>
      </c>
      <c r="R192" s="123" t="n">
        <f aca="false">IF(GanttView[[#This Row],[_RemFrom]]=0,0,GanttView[[#This Row],[Forecast Finish]])</f>
        <v>0</v>
      </c>
      <c r="S192" s="122" t="b">
        <f aca="false">IF(IFERROR(INDEX(tsk_Name,GanttView[[#This Row],[_Row]])="",TRUE()),FALSE(),N(INDEX(tsk_Variance,GanttView[[#This Row],[_Row]]))&gt;0)</f>
        <v>0</v>
      </c>
      <c r="T192" s="123" t="n">
        <f aca="false">IF(IFERROR(INDEX(tsk_Name,GanttView[[#This Row],[_Row]])="",TRUE()),0,N(INDEX(tsk_Deadline,GanttView[[#This Row],[_Row]])))</f>
        <v>0</v>
      </c>
      <c r="U192" s="122"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Row],[_Row]])="",TRUE()),"",INDEX(tsk_ResourceNames,GanttView[[#This Row],[_Row]])&amp;"")</f>
        <v/>
      </c>
      <c r="K193" s="117" t="str">
        <f aca="false">IF(IFERROR(INDEX(tsk_Name,GanttView[[#This Row],[_Row]])="",TRUE()),"",INDEX(tsk_Status,GanttView[[#This Row],[_Row]]))</f>
        <v/>
      </c>
      <c r="L193" s="121" t="n">
        <f aca="false">ROW()-ROW(GanttView[[#Headers],[ID]])</f>
        <v>188</v>
      </c>
      <c r="M193" s="122" t="b">
        <f aca="false">IF(IFERROR(INDEX(tsk_Name,GanttView[[#This Row],[_Row]])="",TRUE()),FALSE(),INDEX(tsk_IsSummary,GanttView[[#This Row],[_Row]]))</f>
        <v>0</v>
      </c>
      <c r="N193" s="122" t="b">
        <f aca="false">IF(IFERROR(INDEX(tsk_Name,GanttView[[#This Row],[_Row]])="",TRUE()),FALSE(),AND(INDEX(tsk_IsLeaf,GanttView[[#This Row],[_Row]])=1,N(INDEX(tsk_Duration,GanttView[[#This Row],[_Row]]))=0))</f>
        <v>0</v>
      </c>
      <c r="O193" s="123" t="n">
        <f aca="false">IF(IFERROR(INDEX(tsk_Name,GanttView[[#This Row],[_Row]])="",TRUE()),0,IF(AND(INDEX(tsk_IsLeaf,GanttView[[#This Row],[_Row]])=1,NOT(GanttView[[#This Row],[_IsMilestone]]),N(GanttView[[#This Row],[%]])&gt;0),GanttView[[#This Row],[Forecast Start]],0))</f>
        <v>0</v>
      </c>
      <c r="P193" s="123" t="n">
        <f aca="false">IF(GanttView[[#This Row],[_DoneFrom]]=0,0,IF(GanttView[[#This Row],[%]]&gt;=1,GanttView[[#This Row],[Forecast Finish]],MAX(GanttView[[#This Row],[_DoneFrom]],GanttView[[#This Row],[Forecast Start]]+ROUND((GanttView[[#This Row],[Forecast Finish]]-GanttView[[#This Row],[Forecast Start]]+1)*GanttView[[#This Row],[%]],0)-1)))</f>
        <v>0</v>
      </c>
      <c r="Q193" s="123" t="n">
        <f aca="false">IF(IFERROR(INDEX(tsk_Name,GanttView[[#This Row],[_Row]])="",TRUE()),0,IF(OR(INDEX(tsk_IsLeaf,GanttView[[#This Row],[_Row]])&lt;&gt;1,GanttView[[#This Row],[_IsMilestone]],N(GanttView[[#This Row],[%]])&gt;=1),0,IF(GanttView[[#This Row],[_DoneTo]]&gt;0,GanttView[[#This Row],[_DoneTo]]+1,GanttView[[#This Row],[Forecast Start]])))</f>
        <v>0</v>
      </c>
      <c r="R193" s="123" t="n">
        <f aca="false">IF(GanttView[[#This Row],[_RemFrom]]=0,0,GanttView[[#This Row],[Forecast Finish]])</f>
        <v>0</v>
      </c>
      <c r="S193" s="122" t="b">
        <f aca="false">IF(IFERROR(INDEX(tsk_Name,GanttView[[#This Row],[_Row]])="",TRUE()),FALSE(),N(INDEX(tsk_Variance,GanttView[[#This Row],[_Row]]))&gt;0)</f>
        <v>0</v>
      </c>
      <c r="T193" s="123" t="n">
        <f aca="false">IF(IFERROR(INDEX(tsk_Name,GanttView[[#This Row],[_Row]])="",TRUE()),0,N(INDEX(tsk_Deadline,GanttView[[#This Row],[_Row]])))</f>
        <v>0</v>
      </c>
      <c r="U193" s="122"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Row],[_Row]])="",TRUE()),"",INDEX(tsk_ResourceNames,GanttView[[#This Row],[_Row]])&amp;"")</f>
        <v/>
      </c>
      <c r="K194" s="117" t="str">
        <f aca="false">IF(IFERROR(INDEX(tsk_Name,GanttView[[#This Row],[_Row]])="",TRUE()),"",INDEX(tsk_Status,GanttView[[#This Row],[_Row]]))</f>
        <v/>
      </c>
      <c r="L194" s="121" t="n">
        <f aca="false">ROW()-ROW(GanttView[[#Headers],[ID]])</f>
        <v>189</v>
      </c>
      <c r="M194" s="122" t="b">
        <f aca="false">IF(IFERROR(INDEX(tsk_Name,GanttView[[#This Row],[_Row]])="",TRUE()),FALSE(),INDEX(tsk_IsSummary,GanttView[[#This Row],[_Row]]))</f>
        <v>0</v>
      </c>
      <c r="N194" s="122" t="b">
        <f aca="false">IF(IFERROR(INDEX(tsk_Name,GanttView[[#This Row],[_Row]])="",TRUE()),FALSE(),AND(INDEX(tsk_IsLeaf,GanttView[[#This Row],[_Row]])=1,N(INDEX(tsk_Duration,GanttView[[#This Row],[_Row]]))=0))</f>
        <v>0</v>
      </c>
      <c r="O194" s="123" t="n">
        <f aca="false">IF(IFERROR(INDEX(tsk_Name,GanttView[[#This Row],[_Row]])="",TRUE()),0,IF(AND(INDEX(tsk_IsLeaf,GanttView[[#This Row],[_Row]])=1,NOT(GanttView[[#This Row],[_IsMilestone]]),N(GanttView[[#This Row],[%]])&gt;0),GanttView[[#This Row],[Forecast Start]],0))</f>
        <v>0</v>
      </c>
      <c r="P194" s="123" t="n">
        <f aca="false">IF(GanttView[[#This Row],[_DoneFrom]]=0,0,IF(GanttView[[#This Row],[%]]&gt;=1,GanttView[[#This Row],[Forecast Finish]],MAX(GanttView[[#This Row],[_DoneFrom]],GanttView[[#This Row],[Forecast Start]]+ROUND((GanttView[[#This Row],[Forecast Finish]]-GanttView[[#This Row],[Forecast Start]]+1)*GanttView[[#This Row],[%]],0)-1)))</f>
        <v>0</v>
      </c>
      <c r="Q194" s="123" t="n">
        <f aca="false">IF(IFERROR(INDEX(tsk_Name,GanttView[[#This Row],[_Row]])="",TRUE()),0,IF(OR(INDEX(tsk_IsLeaf,GanttView[[#This Row],[_Row]])&lt;&gt;1,GanttView[[#This Row],[_IsMilestone]],N(GanttView[[#This Row],[%]])&gt;=1),0,IF(GanttView[[#This Row],[_DoneTo]]&gt;0,GanttView[[#This Row],[_DoneTo]]+1,GanttView[[#This Row],[Forecast Start]])))</f>
        <v>0</v>
      </c>
      <c r="R194" s="123" t="n">
        <f aca="false">IF(GanttView[[#This Row],[_RemFrom]]=0,0,GanttView[[#This Row],[Forecast Finish]])</f>
        <v>0</v>
      </c>
      <c r="S194" s="122" t="b">
        <f aca="false">IF(IFERROR(INDEX(tsk_Name,GanttView[[#This Row],[_Row]])="",TRUE()),FALSE(),N(INDEX(tsk_Variance,GanttView[[#This Row],[_Row]]))&gt;0)</f>
        <v>0</v>
      </c>
      <c r="T194" s="123" t="n">
        <f aca="false">IF(IFERROR(INDEX(tsk_Name,GanttView[[#This Row],[_Row]])="",TRUE()),0,N(INDEX(tsk_Deadline,GanttView[[#This Row],[_Row]])))</f>
        <v>0</v>
      </c>
      <c r="U194" s="122"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Row],[_Row]])="",TRUE()),"",INDEX(tsk_ResourceNames,GanttView[[#This Row],[_Row]])&amp;"")</f>
        <v/>
      </c>
      <c r="K195" s="117" t="str">
        <f aca="false">IF(IFERROR(INDEX(tsk_Name,GanttView[[#This Row],[_Row]])="",TRUE()),"",INDEX(tsk_Status,GanttView[[#This Row],[_Row]]))</f>
        <v/>
      </c>
      <c r="L195" s="121" t="n">
        <f aca="false">ROW()-ROW(GanttView[[#Headers],[ID]])</f>
        <v>190</v>
      </c>
      <c r="M195" s="122" t="b">
        <f aca="false">IF(IFERROR(INDEX(tsk_Name,GanttView[[#This Row],[_Row]])="",TRUE()),FALSE(),INDEX(tsk_IsSummary,GanttView[[#This Row],[_Row]]))</f>
        <v>0</v>
      </c>
      <c r="N195" s="122" t="b">
        <f aca="false">IF(IFERROR(INDEX(tsk_Name,GanttView[[#This Row],[_Row]])="",TRUE()),FALSE(),AND(INDEX(tsk_IsLeaf,GanttView[[#This Row],[_Row]])=1,N(INDEX(tsk_Duration,GanttView[[#This Row],[_Row]]))=0))</f>
        <v>0</v>
      </c>
      <c r="O195" s="123" t="n">
        <f aca="false">IF(IFERROR(INDEX(tsk_Name,GanttView[[#This Row],[_Row]])="",TRUE()),0,IF(AND(INDEX(tsk_IsLeaf,GanttView[[#This Row],[_Row]])=1,NOT(GanttView[[#This Row],[_IsMilestone]]),N(GanttView[[#This Row],[%]])&gt;0),GanttView[[#This Row],[Forecast Start]],0))</f>
        <v>0</v>
      </c>
      <c r="P195" s="123" t="n">
        <f aca="false">IF(GanttView[[#This Row],[_DoneFrom]]=0,0,IF(GanttView[[#This Row],[%]]&gt;=1,GanttView[[#This Row],[Forecast Finish]],MAX(GanttView[[#This Row],[_DoneFrom]],GanttView[[#This Row],[Forecast Start]]+ROUND((GanttView[[#This Row],[Forecast Finish]]-GanttView[[#This Row],[Forecast Start]]+1)*GanttView[[#This Row],[%]],0)-1)))</f>
        <v>0</v>
      </c>
      <c r="Q195" s="123" t="n">
        <f aca="false">IF(IFERROR(INDEX(tsk_Name,GanttView[[#This Row],[_Row]])="",TRUE()),0,IF(OR(INDEX(tsk_IsLeaf,GanttView[[#This Row],[_Row]])&lt;&gt;1,GanttView[[#This Row],[_IsMilestone]],N(GanttView[[#This Row],[%]])&gt;=1),0,IF(GanttView[[#This Row],[_DoneTo]]&gt;0,GanttView[[#This Row],[_DoneTo]]+1,GanttView[[#This Row],[Forecast Start]])))</f>
        <v>0</v>
      </c>
      <c r="R195" s="123" t="n">
        <f aca="false">IF(GanttView[[#This Row],[_RemFrom]]=0,0,GanttView[[#This Row],[Forecast Finish]])</f>
        <v>0</v>
      </c>
      <c r="S195" s="122" t="b">
        <f aca="false">IF(IFERROR(INDEX(tsk_Name,GanttView[[#This Row],[_Row]])="",TRUE()),FALSE(),N(INDEX(tsk_Variance,GanttView[[#This Row],[_Row]]))&gt;0)</f>
        <v>0</v>
      </c>
      <c r="T195" s="123" t="n">
        <f aca="false">IF(IFERROR(INDEX(tsk_Name,GanttView[[#This Row],[_Row]])="",TRUE()),0,N(INDEX(tsk_Deadline,GanttView[[#This Row],[_Row]])))</f>
        <v>0</v>
      </c>
      <c r="U195" s="122"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Row],[_Row]])="",TRUE()),"",INDEX(tsk_ResourceNames,GanttView[[#This Row],[_Row]])&amp;"")</f>
        <v/>
      </c>
      <c r="K196" s="117" t="str">
        <f aca="false">IF(IFERROR(INDEX(tsk_Name,GanttView[[#This Row],[_Row]])="",TRUE()),"",INDEX(tsk_Status,GanttView[[#This Row],[_Row]]))</f>
        <v/>
      </c>
      <c r="L196" s="121" t="n">
        <f aca="false">ROW()-ROW(GanttView[[#Headers],[ID]])</f>
        <v>191</v>
      </c>
      <c r="M196" s="122" t="b">
        <f aca="false">IF(IFERROR(INDEX(tsk_Name,GanttView[[#This Row],[_Row]])="",TRUE()),FALSE(),INDEX(tsk_IsSummary,GanttView[[#This Row],[_Row]]))</f>
        <v>0</v>
      </c>
      <c r="N196" s="122" t="b">
        <f aca="false">IF(IFERROR(INDEX(tsk_Name,GanttView[[#This Row],[_Row]])="",TRUE()),FALSE(),AND(INDEX(tsk_IsLeaf,GanttView[[#This Row],[_Row]])=1,N(INDEX(tsk_Duration,GanttView[[#This Row],[_Row]]))=0))</f>
        <v>0</v>
      </c>
      <c r="O196" s="123" t="n">
        <f aca="false">IF(IFERROR(INDEX(tsk_Name,GanttView[[#This Row],[_Row]])="",TRUE()),0,IF(AND(INDEX(tsk_IsLeaf,GanttView[[#This Row],[_Row]])=1,NOT(GanttView[[#This Row],[_IsMilestone]]),N(GanttView[[#This Row],[%]])&gt;0),GanttView[[#This Row],[Forecast Start]],0))</f>
        <v>0</v>
      </c>
      <c r="P196" s="123" t="n">
        <f aca="false">IF(GanttView[[#This Row],[_DoneFrom]]=0,0,IF(GanttView[[#This Row],[%]]&gt;=1,GanttView[[#This Row],[Forecast Finish]],MAX(GanttView[[#This Row],[_DoneFrom]],GanttView[[#This Row],[Forecast Start]]+ROUND((GanttView[[#This Row],[Forecast Finish]]-GanttView[[#This Row],[Forecast Start]]+1)*GanttView[[#This Row],[%]],0)-1)))</f>
        <v>0</v>
      </c>
      <c r="Q196" s="123" t="n">
        <f aca="false">IF(IFERROR(INDEX(tsk_Name,GanttView[[#This Row],[_Row]])="",TRUE()),0,IF(OR(INDEX(tsk_IsLeaf,GanttView[[#This Row],[_Row]])&lt;&gt;1,GanttView[[#This Row],[_IsMilestone]],N(GanttView[[#This Row],[%]])&gt;=1),0,IF(GanttView[[#This Row],[_DoneTo]]&gt;0,GanttView[[#This Row],[_DoneTo]]+1,GanttView[[#This Row],[Forecast Start]])))</f>
        <v>0</v>
      </c>
      <c r="R196" s="123" t="n">
        <f aca="false">IF(GanttView[[#This Row],[_RemFrom]]=0,0,GanttView[[#This Row],[Forecast Finish]])</f>
        <v>0</v>
      </c>
      <c r="S196" s="122" t="b">
        <f aca="false">IF(IFERROR(INDEX(tsk_Name,GanttView[[#This Row],[_Row]])="",TRUE()),FALSE(),N(INDEX(tsk_Variance,GanttView[[#This Row],[_Row]]))&gt;0)</f>
        <v>0</v>
      </c>
      <c r="T196" s="123" t="n">
        <f aca="false">IF(IFERROR(INDEX(tsk_Name,GanttView[[#This Row],[_Row]])="",TRUE()),0,N(INDEX(tsk_Deadline,GanttView[[#This Row],[_Row]])))</f>
        <v>0</v>
      </c>
      <c r="U196" s="122"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Row],[_Row]])="",TRUE()),"",INDEX(tsk_ResourceNames,GanttView[[#This Row],[_Row]])&amp;"")</f>
        <v/>
      </c>
      <c r="K197" s="117" t="str">
        <f aca="false">IF(IFERROR(INDEX(tsk_Name,GanttView[[#This Row],[_Row]])="",TRUE()),"",INDEX(tsk_Status,GanttView[[#This Row],[_Row]]))</f>
        <v/>
      </c>
      <c r="L197" s="121" t="n">
        <f aca="false">ROW()-ROW(GanttView[[#Headers],[ID]])</f>
        <v>192</v>
      </c>
      <c r="M197" s="122" t="b">
        <f aca="false">IF(IFERROR(INDEX(tsk_Name,GanttView[[#This Row],[_Row]])="",TRUE()),FALSE(),INDEX(tsk_IsSummary,GanttView[[#This Row],[_Row]]))</f>
        <v>0</v>
      </c>
      <c r="N197" s="122" t="b">
        <f aca="false">IF(IFERROR(INDEX(tsk_Name,GanttView[[#This Row],[_Row]])="",TRUE()),FALSE(),AND(INDEX(tsk_IsLeaf,GanttView[[#This Row],[_Row]])=1,N(INDEX(tsk_Duration,GanttView[[#This Row],[_Row]]))=0))</f>
        <v>0</v>
      </c>
      <c r="O197" s="123" t="n">
        <f aca="false">IF(IFERROR(INDEX(tsk_Name,GanttView[[#This Row],[_Row]])="",TRUE()),0,IF(AND(INDEX(tsk_IsLeaf,GanttView[[#This Row],[_Row]])=1,NOT(GanttView[[#This Row],[_IsMilestone]]),N(GanttView[[#This Row],[%]])&gt;0),GanttView[[#This Row],[Forecast Start]],0))</f>
        <v>0</v>
      </c>
      <c r="P197" s="123" t="n">
        <f aca="false">IF(GanttView[[#This Row],[_DoneFrom]]=0,0,IF(GanttView[[#This Row],[%]]&gt;=1,GanttView[[#This Row],[Forecast Finish]],MAX(GanttView[[#This Row],[_DoneFrom]],GanttView[[#This Row],[Forecast Start]]+ROUND((GanttView[[#This Row],[Forecast Finish]]-GanttView[[#This Row],[Forecast Start]]+1)*GanttView[[#This Row],[%]],0)-1)))</f>
        <v>0</v>
      </c>
      <c r="Q197" s="123" t="n">
        <f aca="false">IF(IFERROR(INDEX(tsk_Name,GanttView[[#This Row],[_Row]])="",TRUE()),0,IF(OR(INDEX(tsk_IsLeaf,GanttView[[#This Row],[_Row]])&lt;&gt;1,GanttView[[#This Row],[_IsMilestone]],N(GanttView[[#This Row],[%]])&gt;=1),0,IF(GanttView[[#This Row],[_DoneTo]]&gt;0,GanttView[[#This Row],[_DoneTo]]+1,GanttView[[#This Row],[Forecast Start]])))</f>
        <v>0</v>
      </c>
      <c r="R197" s="123" t="n">
        <f aca="false">IF(GanttView[[#This Row],[_RemFrom]]=0,0,GanttView[[#This Row],[Forecast Finish]])</f>
        <v>0</v>
      </c>
      <c r="S197" s="122" t="b">
        <f aca="false">IF(IFERROR(INDEX(tsk_Name,GanttView[[#This Row],[_Row]])="",TRUE()),FALSE(),N(INDEX(tsk_Variance,GanttView[[#This Row],[_Row]]))&gt;0)</f>
        <v>0</v>
      </c>
      <c r="T197" s="123" t="n">
        <f aca="false">IF(IFERROR(INDEX(tsk_Name,GanttView[[#This Row],[_Row]])="",TRUE()),0,N(INDEX(tsk_Deadline,GanttView[[#This Row],[_Row]])))</f>
        <v>0</v>
      </c>
      <c r="U197" s="122"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Row],[_Row]])="",TRUE()),"",INDEX(tsk_ResourceNames,GanttView[[#This Row],[_Row]])&amp;"")</f>
        <v/>
      </c>
      <c r="K198" s="117" t="str">
        <f aca="false">IF(IFERROR(INDEX(tsk_Name,GanttView[[#This Row],[_Row]])="",TRUE()),"",INDEX(tsk_Status,GanttView[[#This Row],[_Row]]))</f>
        <v/>
      </c>
      <c r="L198" s="121" t="n">
        <f aca="false">ROW()-ROW(GanttView[[#Headers],[ID]])</f>
        <v>193</v>
      </c>
      <c r="M198" s="122" t="b">
        <f aca="false">IF(IFERROR(INDEX(tsk_Name,GanttView[[#This Row],[_Row]])="",TRUE()),FALSE(),INDEX(tsk_IsSummary,GanttView[[#This Row],[_Row]]))</f>
        <v>0</v>
      </c>
      <c r="N198" s="122" t="b">
        <f aca="false">IF(IFERROR(INDEX(tsk_Name,GanttView[[#This Row],[_Row]])="",TRUE()),FALSE(),AND(INDEX(tsk_IsLeaf,GanttView[[#This Row],[_Row]])=1,N(INDEX(tsk_Duration,GanttView[[#This Row],[_Row]]))=0))</f>
        <v>0</v>
      </c>
      <c r="O198" s="123" t="n">
        <f aca="false">IF(IFERROR(INDEX(tsk_Name,GanttView[[#This Row],[_Row]])="",TRUE()),0,IF(AND(INDEX(tsk_IsLeaf,GanttView[[#This Row],[_Row]])=1,NOT(GanttView[[#This Row],[_IsMilestone]]),N(GanttView[[#This Row],[%]])&gt;0),GanttView[[#This Row],[Forecast Start]],0))</f>
        <v>0</v>
      </c>
      <c r="P198" s="123" t="n">
        <f aca="false">IF(GanttView[[#This Row],[_DoneFrom]]=0,0,IF(GanttView[[#This Row],[%]]&gt;=1,GanttView[[#This Row],[Forecast Finish]],MAX(GanttView[[#This Row],[_DoneFrom]],GanttView[[#This Row],[Forecast Start]]+ROUND((GanttView[[#This Row],[Forecast Finish]]-GanttView[[#This Row],[Forecast Start]]+1)*GanttView[[#This Row],[%]],0)-1)))</f>
        <v>0</v>
      </c>
      <c r="Q198" s="123" t="n">
        <f aca="false">IF(IFERROR(INDEX(tsk_Name,GanttView[[#This Row],[_Row]])="",TRUE()),0,IF(OR(INDEX(tsk_IsLeaf,GanttView[[#This Row],[_Row]])&lt;&gt;1,GanttView[[#This Row],[_IsMilestone]],N(GanttView[[#This Row],[%]])&gt;=1),0,IF(GanttView[[#This Row],[_DoneTo]]&gt;0,GanttView[[#This Row],[_DoneTo]]+1,GanttView[[#This Row],[Forecast Start]])))</f>
        <v>0</v>
      </c>
      <c r="R198" s="123" t="n">
        <f aca="false">IF(GanttView[[#This Row],[_RemFrom]]=0,0,GanttView[[#This Row],[Forecast Finish]])</f>
        <v>0</v>
      </c>
      <c r="S198" s="122" t="b">
        <f aca="false">IF(IFERROR(INDEX(tsk_Name,GanttView[[#This Row],[_Row]])="",TRUE()),FALSE(),N(INDEX(tsk_Variance,GanttView[[#This Row],[_Row]]))&gt;0)</f>
        <v>0</v>
      </c>
      <c r="T198" s="123" t="n">
        <f aca="false">IF(IFERROR(INDEX(tsk_Name,GanttView[[#This Row],[_Row]])="",TRUE()),0,N(INDEX(tsk_Deadline,GanttView[[#This Row],[_Row]])))</f>
        <v>0</v>
      </c>
      <c r="U198" s="122"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Row],[_Row]])="",TRUE()),"",INDEX(tsk_ResourceNames,GanttView[[#This Row],[_Row]])&amp;"")</f>
        <v/>
      </c>
      <c r="K199" s="117" t="str">
        <f aca="false">IF(IFERROR(INDEX(tsk_Name,GanttView[[#This Row],[_Row]])="",TRUE()),"",INDEX(tsk_Status,GanttView[[#This Row],[_Row]]))</f>
        <v/>
      </c>
      <c r="L199" s="121" t="n">
        <f aca="false">ROW()-ROW(GanttView[[#Headers],[ID]])</f>
        <v>194</v>
      </c>
      <c r="M199" s="122" t="b">
        <f aca="false">IF(IFERROR(INDEX(tsk_Name,GanttView[[#This Row],[_Row]])="",TRUE()),FALSE(),INDEX(tsk_IsSummary,GanttView[[#This Row],[_Row]]))</f>
        <v>0</v>
      </c>
      <c r="N199" s="122" t="b">
        <f aca="false">IF(IFERROR(INDEX(tsk_Name,GanttView[[#This Row],[_Row]])="",TRUE()),FALSE(),AND(INDEX(tsk_IsLeaf,GanttView[[#This Row],[_Row]])=1,N(INDEX(tsk_Duration,GanttView[[#This Row],[_Row]]))=0))</f>
        <v>0</v>
      </c>
      <c r="O199" s="123" t="n">
        <f aca="false">IF(IFERROR(INDEX(tsk_Name,GanttView[[#This Row],[_Row]])="",TRUE()),0,IF(AND(INDEX(tsk_IsLeaf,GanttView[[#This Row],[_Row]])=1,NOT(GanttView[[#This Row],[_IsMilestone]]),N(GanttView[[#This Row],[%]])&gt;0),GanttView[[#This Row],[Forecast Start]],0))</f>
        <v>0</v>
      </c>
      <c r="P199" s="123" t="n">
        <f aca="false">IF(GanttView[[#This Row],[_DoneFrom]]=0,0,IF(GanttView[[#This Row],[%]]&gt;=1,GanttView[[#This Row],[Forecast Finish]],MAX(GanttView[[#This Row],[_DoneFrom]],GanttView[[#This Row],[Forecast Start]]+ROUND((GanttView[[#This Row],[Forecast Finish]]-GanttView[[#This Row],[Forecast Start]]+1)*GanttView[[#This Row],[%]],0)-1)))</f>
        <v>0</v>
      </c>
      <c r="Q199" s="123" t="n">
        <f aca="false">IF(IFERROR(INDEX(tsk_Name,GanttView[[#This Row],[_Row]])="",TRUE()),0,IF(OR(INDEX(tsk_IsLeaf,GanttView[[#This Row],[_Row]])&lt;&gt;1,GanttView[[#This Row],[_IsMilestone]],N(GanttView[[#This Row],[%]])&gt;=1),0,IF(GanttView[[#This Row],[_DoneTo]]&gt;0,GanttView[[#This Row],[_DoneTo]]+1,GanttView[[#This Row],[Forecast Start]])))</f>
        <v>0</v>
      </c>
      <c r="R199" s="123" t="n">
        <f aca="false">IF(GanttView[[#This Row],[_RemFrom]]=0,0,GanttView[[#This Row],[Forecast Finish]])</f>
        <v>0</v>
      </c>
      <c r="S199" s="122" t="b">
        <f aca="false">IF(IFERROR(INDEX(tsk_Name,GanttView[[#This Row],[_Row]])="",TRUE()),FALSE(),N(INDEX(tsk_Variance,GanttView[[#This Row],[_Row]]))&gt;0)</f>
        <v>0</v>
      </c>
      <c r="T199" s="123" t="n">
        <f aca="false">IF(IFERROR(INDEX(tsk_Name,GanttView[[#This Row],[_Row]])="",TRUE()),0,N(INDEX(tsk_Deadline,GanttView[[#This Row],[_Row]])))</f>
        <v>0</v>
      </c>
      <c r="U199" s="122"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Row],[_Row]])="",TRUE()),"",INDEX(tsk_ResourceNames,GanttView[[#This Row],[_Row]])&amp;"")</f>
        <v/>
      </c>
      <c r="K200" s="117" t="str">
        <f aca="false">IF(IFERROR(INDEX(tsk_Name,GanttView[[#This Row],[_Row]])="",TRUE()),"",INDEX(tsk_Status,GanttView[[#This Row],[_Row]]))</f>
        <v/>
      </c>
      <c r="L200" s="121" t="n">
        <f aca="false">ROW()-ROW(GanttView[[#Headers],[ID]])</f>
        <v>195</v>
      </c>
      <c r="M200" s="122" t="b">
        <f aca="false">IF(IFERROR(INDEX(tsk_Name,GanttView[[#This Row],[_Row]])="",TRUE()),FALSE(),INDEX(tsk_IsSummary,GanttView[[#This Row],[_Row]]))</f>
        <v>0</v>
      </c>
      <c r="N200" s="122" t="b">
        <f aca="false">IF(IFERROR(INDEX(tsk_Name,GanttView[[#This Row],[_Row]])="",TRUE()),FALSE(),AND(INDEX(tsk_IsLeaf,GanttView[[#This Row],[_Row]])=1,N(INDEX(tsk_Duration,GanttView[[#This Row],[_Row]]))=0))</f>
        <v>0</v>
      </c>
      <c r="O200" s="123" t="n">
        <f aca="false">IF(IFERROR(INDEX(tsk_Name,GanttView[[#This Row],[_Row]])="",TRUE()),0,IF(AND(INDEX(tsk_IsLeaf,GanttView[[#This Row],[_Row]])=1,NOT(GanttView[[#This Row],[_IsMilestone]]),N(GanttView[[#This Row],[%]])&gt;0),GanttView[[#This Row],[Forecast Start]],0))</f>
        <v>0</v>
      </c>
      <c r="P200" s="123" t="n">
        <f aca="false">IF(GanttView[[#This Row],[_DoneFrom]]=0,0,IF(GanttView[[#This Row],[%]]&gt;=1,GanttView[[#This Row],[Forecast Finish]],MAX(GanttView[[#This Row],[_DoneFrom]],GanttView[[#This Row],[Forecast Start]]+ROUND((GanttView[[#This Row],[Forecast Finish]]-GanttView[[#This Row],[Forecast Start]]+1)*GanttView[[#This Row],[%]],0)-1)))</f>
        <v>0</v>
      </c>
      <c r="Q200" s="123" t="n">
        <f aca="false">IF(IFERROR(INDEX(tsk_Name,GanttView[[#This Row],[_Row]])="",TRUE()),0,IF(OR(INDEX(tsk_IsLeaf,GanttView[[#This Row],[_Row]])&lt;&gt;1,GanttView[[#This Row],[_IsMilestone]],N(GanttView[[#This Row],[%]])&gt;=1),0,IF(GanttView[[#This Row],[_DoneTo]]&gt;0,GanttView[[#This Row],[_DoneTo]]+1,GanttView[[#This Row],[Forecast Start]])))</f>
        <v>0</v>
      </c>
      <c r="R200" s="123" t="n">
        <f aca="false">IF(GanttView[[#This Row],[_RemFrom]]=0,0,GanttView[[#This Row],[Forecast Finish]])</f>
        <v>0</v>
      </c>
      <c r="S200" s="122" t="b">
        <f aca="false">IF(IFERROR(INDEX(tsk_Name,GanttView[[#This Row],[_Row]])="",TRUE()),FALSE(),N(INDEX(tsk_Variance,GanttView[[#This Row],[_Row]]))&gt;0)</f>
        <v>0</v>
      </c>
      <c r="T200" s="123" t="n">
        <f aca="false">IF(IFERROR(INDEX(tsk_Name,GanttView[[#This Row],[_Row]])="",TRUE()),0,N(INDEX(tsk_Deadline,GanttView[[#This Row],[_Row]])))</f>
        <v>0</v>
      </c>
      <c r="U200" s="122"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Row],[_Row]])="",TRUE()),"",INDEX(tsk_ResourceNames,GanttView[[#This Row],[_Row]])&amp;"")</f>
        <v/>
      </c>
      <c r="K201" s="117" t="str">
        <f aca="false">IF(IFERROR(INDEX(tsk_Name,GanttView[[#This Row],[_Row]])="",TRUE()),"",INDEX(tsk_Status,GanttView[[#This Row],[_Row]]))</f>
        <v/>
      </c>
      <c r="L201" s="121" t="n">
        <f aca="false">ROW()-ROW(GanttView[[#Headers],[ID]])</f>
        <v>196</v>
      </c>
      <c r="M201" s="122" t="b">
        <f aca="false">IF(IFERROR(INDEX(tsk_Name,GanttView[[#This Row],[_Row]])="",TRUE()),FALSE(),INDEX(tsk_IsSummary,GanttView[[#This Row],[_Row]]))</f>
        <v>0</v>
      </c>
      <c r="N201" s="122" t="b">
        <f aca="false">IF(IFERROR(INDEX(tsk_Name,GanttView[[#This Row],[_Row]])="",TRUE()),FALSE(),AND(INDEX(tsk_IsLeaf,GanttView[[#This Row],[_Row]])=1,N(INDEX(tsk_Duration,GanttView[[#This Row],[_Row]]))=0))</f>
        <v>0</v>
      </c>
      <c r="O201" s="123" t="n">
        <f aca="false">IF(IFERROR(INDEX(tsk_Name,GanttView[[#This Row],[_Row]])="",TRUE()),0,IF(AND(INDEX(tsk_IsLeaf,GanttView[[#This Row],[_Row]])=1,NOT(GanttView[[#This Row],[_IsMilestone]]),N(GanttView[[#This Row],[%]])&gt;0),GanttView[[#This Row],[Forecast Start]],0))</f>
        <v>0</v>
      </c>
      <c r="P201" s="123" t="n">
        <f aca="false">IF(GanttView[[#This Row],[_DoneFrom]]=0,0,IF(GanttView[[#This Row],[%]]&gt;=1,GanttView[[#This Row],[Forecast Finish]],MAX(GanttView[[#This Row],[_DoneFrom]],GanttView[[#This Row],[Forecast Start]]+ROUND((GanttView[[#This Row],[Forecast Finish]]-GanttView[[#This Row],[Forecast Start]]+1)*GanttView[[#This Row],[%]],0)-1)))</f>
        <v>0</v>
      </c>
      <c r="Q201" s="123" t="n">
        <f aca="false">IF(IFERROR(INDEX(tsk_Name,GanttView[[#This Row],[_Row]])="",TRUE()),0,IF(OR(INDEX(tsk_IsLeaf,GanttView[[#This Row],[_Row]])&lt;&gt;1,GanttView[[#This Row],[_IsMilestone]],N(GanttView[[#This Row],[%]])&gt;=1),0,IF(GanttView[[#This Row],[_DoneTo]]&gt;0,GanttView[[#This Row],[_DoneTo]]+1,GanttView[[#This Row],[Forecast Start]])))</f>
        <v>0</v>
      </c>
      <c r="R201" s="123" t="n">
        <f aca="false">IF(GanttView[[#This Row],[_RemFrom]]=0,0,GanttView[[#This Row],[Forecast Finish]])</f>
        <v>0</v>
      </c>
      <c r="S201" s="122" t="b">
        <f aca="false">IF(IFERROR(INDEX(tsk_Name,GanttView[[#This Row],[_Row]])="",TRUE()),FALSE(),N(INDEX(tsk_Variance,GanttView[[#This Row],[_Row]]))&gt;0)</f>
        <v>0</v>
      </c>
      <c r="T201" s="123" t="n">
        <f aca="false">IF(IFERROR(INDEX(tsk_Name,GanttView[[#This Row],[_Row]])="",TRUE()),0,N(INDEX(tsk_Deadline,GanttView[[#This Row],[_Row]])))</f>
        <v>0</v>
      </c>
      <c r="U201" s="122"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Row],[_Row]])="",TRUE()),"",INDEX(tsk_ResourceNames,GanttView[[#This Row],[_Row]])&amp;"")</f>
        <v/>
      </c>
      <c r="K202" s="117" t="str">
        <f aca="false">IF(IFERROR(INDEX(tsk_Name,GanttView[[#This Row],[_Row]])="",TRUE()),"",INDEX(tsk_Status,GanttView[[#This Row],[_Row]]))</f>
        <v/>
      </c>
      <c r="L202" s="121" t="n">
        <f aca="false">ROW()-ROW(GanttView[[#Headers],[ID]])</f>
        <v>197</v>
      </c>
      <c r="M202" s="122" t="b">
        <f aca="false">IF(IFERROR(INDEX(tsk_Name,GanttView[[#This Row],[_Row]])="",TRUE()),FALSE(),INDEX(tsk_IsSummary,GanttView[[#This Row],[_Row]]))</f>
        <v>0</v>
      </c>
      <c r="N202" s="122" t="b">
        <f aca="false">IF(IFERROR(INDEX(tsk_Name,GanttView[[#This Row],[_Row]])="",TRUE()),FALSE(),AND(INDEX(tsk_IsLeaf,GanttView[[#This Row],[_Row]])=1,N(INDEX(tsk_Duration,GanttView[[#This Row],[_Row]]))=0))</f>
        <v>0</v>
      </c>
      <c r="O202" s="123" t="n">
        <f aca="false">IF(IFERROR(INDEX(tsk_Name,GanttView[[#This Row],[_Row]])="",TRUE()),0,IF(AND(INDEX(tsk_IsLeaf,GanttView[[#This Row],[_Row]])=1,NOT(GanttView[[#This Row],[_IsMilestone]]),N(GanttView[[#This Row],[%]])&gt;0),GanttView[[#This Row],[Forecast Start]],0))</f>
        <v>0</v>
      </c>
      <c r="P202" s="123" t="n">
        <f aca="false">IF(GanttView[[#This Row],[_DoneFrom]]=0,0,IF(GanttView[[#This Row],[%]]&gt;=1,GanttView[[#This Row],[Forecast Finish]],MAX(GanttView[[#This Row],[_DoneFrom]],GanttView[[#This Row],[Forecast Start]]+ROUND((GanttView[[#This Row],[Forecast Finish]]-GanttView[[#This Row],[Forecast Start]]+1)*GanttView[[#This Row],[%]],0)-1)))</f>
        <v>0</v>
      </c>
      <c r="Q202" s="123" t="n">
        <f aca="false">IF(IFERROR(INDEX(tsk_Name,GanttView[[#This Row],[_Row]])="",TRUE()),0,IF(OR(INDEX(tsk_IsLeaf,GanttView[[#This Row],[_Row]])&lt;&gt;1,GanttView[[#This Row],[_IsMilestone]],N(GanttView[[#This Row],[%]])&gt;=1),0,IF(GanttView[[#This Row],[_DoneTo]]&gt;0,GanttView[[#This Row],[_DoneTo]]+1,GanttView[[#This Row],[Forecast Start]])))</f>
        <v>0</v>
      </c>
      <c r="R202" s="123" t="n">
        <f aca="false">IF(GanttView[[#This Row],[_RemFrom]]=0,0,GanttView[[#This Row],[Forecast Finish]])</f>
        <v>0</v>
      </c>
      <c r="S202" s="122" t="b">
        <f aca="false">IF(IFERROR(INDEX(tsk_Name,GanttView[[#This Row],[_Row]])="",TRUE()),FALSE(),N(INDEX(tsk_Variance,GanttView[[#This Row],[_Row]]))&gt;0)</f>
        <v>0</v>
      </c>
      <c r="T202" s="123" t="n">
        <f aca="false">IF(IFERROR(INDEX(tsk_Name,GanttView[[#This Row],[_Row]])="",TRUE()),0,N(INDEX(tsk_Deadline,GanttView[[#This Row],[_Row]])))</f>
        <v>0</v>
      </c>
      <c r="U202" s="122"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Row],[_Row]])="",TRUE()),"",INDEX(tsk_ResourceNames,GanttView[[#This Row],[_Row]])&amp;"")</f>
        <v/>
      </c>
      <c r="K203" s="117" t="str">
        <f aca="false">IF(IFERROR(INDEX(tsk_Name,GanttView[[#This Row],[_Row]])="",TRUE()),"",INDEX(tsk_Status,GanttView[[#This Row],[_Row]]))</f>
        <v/>
      </c>
      <c r="L203" s="121" t="n">
        <f aca="false">ROW()-ROW(GanttView[[#Headers],[ID]])</f>
        <v>198</v>
      </c>
      <c r="M203" s="122" t="b">
        <f aca="false">IF(IFERROR(INDEX(tsk_Name,GanttView[[#This Row],[_Row]])="",TRUE()),FALSE(),INDEX(tsk_IsSummary,GanttView[[#This Row],[_Row]]))</f>
        <v>0</v>
      </c>
      <c r="N203" s="122" t="b">
        <f aca="false">IF(IFERROR(INDEX(tsk_Name,GanttView[[#This Row],[_Row]])="",TRUE()),FALSE(),AND(INDEX(tsk_IsLeaf,GanttView[[#This Row],[_Row]])=1,N(INDEX(tsk_Duration,GanttView[[#This Row],[_Row]]))=0))</f>
        <v>0</v>
      </c>
      <c r="O203" s="123" t="n">
        <f aca="false">IF(IFERROR(INDEX(tsk_Name,GanttView[[#This Row],[_Row]])="",TRUE()),0,IF(AND(INDEX(tsk_IsLeaf,GanttView[[#This Row],[_Row]])=1,NOT(GanttView[[#This Row],[_IsMilestone]]),N(GanttView[[#This Row],[%]])&gt;0),GanttView[[#This Row],[Forecast Start]],0))</f>
        <v>0</v>
      </c>
      <c r="P203" s="123" t="n">
        <f aca="false">IF(GanttView[[#This Row],[_DoneFrom]]=0,0,IF(GanttView[[#This Row],[%]]&gt;=1,GanttView[[#This Row],[Forecast Finish]],MAX(GanttView[[#This Row],[_DoneFrom]],GanttView[[#This Row],[Forecast Start]]+ROUND((GanttView[[#This Row],[Forecast Finish]]-GanttView[[#This Row],[Forecast Start]]+1)*GanttView[[#This Row],[%]],0)-1)))</f>
        <v>0</v>
      </c>
      <c r="Q203" s="123" t="n">
        <f aca="false">IF(IFERROR(INDEX(tsk_Name,GanttView[[#This Row],[_Row]])="",TRUE()),0,IF(OR(INDEX(tsk_IsLeaf,GanttView[[#This Row],[_Row]])&lt;&gt;1,GanttView[[#This Row],[_IsMilestone]],N(GanttView[[#This Row],[%]])&gt;=1),0,IF(GanttView[[#This Row],[_DoneTo]]&gt;0,GanttView[[#This Row],[_DoneTo]]+1,GanttView[[#This Row],[Forecast Start]])))</f>
        <v>0</v>
      </c>
      <c r="R203" s="123" t="n">
        <f aca="false">IF(GanttView[[#This Row],[_RemFrom]]=0,0,GanttView[[#This Row],[Forecast Finish]])</f>
        <v>0</v>
      </c>
      <c r="S203" s="122" t="b">
        <f aca="false">IF(IFERROR(INDEX(tsk_Name,GanttView[[#This Row],[_Row]])="",TRUE()),FALSE(),N(INDEX(tsk_Variance,GanttView[[#This Row],[_Row]]))&gt;0)</f>
        <v>0</v>
      </c>
      <c r="T203" s="123" t="n">
        <f aca="false">IF(IFERROR(INDEX(tsk_Name,GanttView[[#This Row],[_Row]])="",TRUE()),0,N(INDEX(tsk_Deadline,GanttView[[#This Row],[_Row]])))</f>
        <v>0</v>
      </c>
      <c r="U203" s="122"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Row],[_Row]])="",TRUE()),"",INDEX(tsk_ResourceNames,GanttView[[#This Row],[_Row]])&amp;"")</f>
        <v/>
      </c>
      <c r="K204" s="117" t="str">
        <f aca="false">IF(IFERROR(INDEX(tsk_Name,GanttView[[#This Row],[_Row]])="",TRUE()),"",INDEX(tsk_Status,GanttView[[#This Row],[_Row]]))</f>
        <v/>
      </c>
      <c r="L204" s="121" t="n">
        <f aca="false">ROW()-ROW(GanttView[[#Headers],[ID]])</f>
        <v>199</v>
      </c>
      <c r="M204" s="122" t="b">
        <f aca="false">IF(IFERROR(INDEX(tsk_Name,GanttView[[#This Row],[_Row]])="",TRUE()),FALSE(),INDEX(tsk_IsSummary,GanttView[[#This Row],[_Row]]))</f>
        <v>0</v>
      </c>
      <c r="N204" s="122" t="b">
        <f aca="false">IF(IFERROR(INDEX(tsk_Name,GanttView[[#This Row],[_Row]])="",TRUE()),FALSE(),AND(INDEX(tsk_IsLeaf,GanttView[[#This Row],[_Row]])=1,N(INDEX(tsk_Duration,GanttView[[#This Row],[_Row]]))=0))</f>
        <v>0</v>
      </c>
      <c r="O204" s="123" t="n">
        <f aca="false">IF(IFERROR(INDEX(tsk_Name,GanttView[[#This Row],[_Row]])="",TRUE()),0,IF(AND(INDEX(tsk_IsLeaf,GanttView[[#This Row],[_Row]])=1,NOT(GanttView[[#This Row],[_IsMilestone]]),N(GanttView[[#This Row],[%]])&gt;0),GanttView[[#This Row],[Forecast Start]],0))</f>
        <v>0</v>
      </c>
      <c r="P204" s="123" t="n">
        <f aca="false">IF(GanttView[[#This Row],[_DoneFrom]]=0,0,IF(GanttView[[#This Row],[%]]&gt;=1,GanttView[[#This Row],[Forecast Finish]],MAX(GanttView[[#This Row],[_DoneFrom]],GanttView[[#This Row],[Forecast Start]]+ROUND((GanttView[[#This Row],[Forecast Finish]]-GanttView[[#This Row],[Forecast Start]]+1)*GanttView[[#This Row],[%]],0)-1)))</f>
        <v>0</v>
      </c>
      <c r="Q204" s="123" t="n">
        <f aca="false">IF(IFERROR(INDEX(tsk_Name,GanttView[[#This Row],[_Row]])="",TRUE()),0,IF(OR(INDEX(tsk_IsLeaf,GanttView[[#This Row],[_Row]])&lt;&gt;1,GanttView[[#This Row],[_IsMilestone]],N(GanttView[[#This Row],[%]])&gt;=1),0,IF(GanttView[[#This Row],[_DoneTo]]&gt;0,GanttView[[#This Row],[_DoneTo]]+1,GanttView[[#This Row],[Forecast Start]])))</f>
        <v>0</v>
      </c>
      <c r="R204" s="123" t="n">
        <f aca="false">IF(GanttView[[#This Row],[_RemFrom]]=0,0,GanttView[[#This Row],[Forecast Finish]])</f>
        <v>0</v>
      </c>
      <c r="S204" s="122" t="b">
        <f aca="false">IF(IFERROR(INDEX(tsk_Name,GanttView[[#This Row],[_Row]])="",TRUE()),FALSE(),N(INDEX(tsk_Variance,GanttView[[#This Row],[_Row]]))&gt;0)</f>
        <v>0</v>
      </c>
      <c r="T204" s="123" t="n">
        <f aca="false">IF(IFERROR(INDEX(tsk_Name,GanttView[[#This Row],[_Row]])="",TRUE()),0,N(INDEX(tsk_Deadline,GanttView[[#This Row],[_Row]])))</f>
        <v>0</v>
      </c>
      <c r="U204" s="122"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Row],[_Row]])="",TRUE()),"",INDEX(tsk_ResourceNames,GanttView[[#This Row],[_Row]])&amp;"")</f>
        <v/>
      </c>
      <c r="K205" s="117" t="str">
        <f aca="false">IF(IFERROR(INDEX(tsk_Name,GanttView[[#This Row],[_Row]])="",TRUE()),"",INDEX(tsk_Status,GanttView[[#This Row],[_Row]]))</f>
        <v/>
      </c>
      <c r="L205" s="121" t="n">
        <f aca="false">ROW()-ROW(GanttView[[#Headers],[ID]])</f>
        <v>200</v>
      </c>
      <c r="M205" s="122" t="b">
        <f aca="false">IF(IFERROR(INDEX(tsk_Name,GanttView[[#This Row],[_Row]])="",TRUE()),FALSE(),INDEX(tsk_IsSummary,GanttView[[#This Row],[_Row]]))</f>
        <v>0</v>
      </c>
      <c r="N205" s="122" t="b">
        <f aca="false">IF(IFERROR(INDEX(tsk_Name,GanttView[[#This Row],[_Row]])="",TRUE()),FALSE(),AND(INDEX(tsk_IsLeaf,GanttView[[#This Row],[_Row]])=1,N(INDEX(tsk_Duration,GanttView[[#This Row],[_Row]]))=0))</f>
        <v>0</v>
      </c>
      <c r="O205" s="123" t="n">
        <f aca="false">IF(IFERROR(INDEX(tsk_Name,GanttView[[#This Row],[_Row]])="",TRUE()),0,IF(AND(INDEX(tsk_IsLeaf,GanttView[[#This Row],[_Row]])=1,NOT(GanttView[[#This Row],[_IsMilestone]]),N(GanttView[[#This Row],[%]])&gt;0),GanttView[[#This Row],[Forecast Start]],0))</f>
        <v>0</v>
      </c>
      <c r="P205" s="123" t="n">
        <f aca="false">IF(GanttView[[#This Row],[_DoneFrom]]=0,0,IF(GanttView[[#This Row],[%]]&gt;=1,GanttView[[#This Row],[Forecast Finish]],MAX(GanttView[[#This Row],[_DoneFrom]],GanttView[[#This Row],[Forecast Start]]+ROUND((GanttView[[#This Row],[Forecast Finish]]-GanttView[[#This Row],[Forecast Start]]+1)*GanttView[[#This Row],[%]],0)-1)))</f>
        <v>0</v>
      </c>
      <c r="Q205" s="123" t="n">
        <f aca="false">IF(IFERROR(INDEX(tsk_Name,GanttView[[#This Row],[_Row]])="",TRUE()),0,IF(OR(INDEX(tsk_IsLeaf,GanttView[[#This Row],[_Row]])&lt;&gt;1,GanttView[[#This Row],[_IsMilestone]],N(GanttView[[#This Row],[%]])&gt;=1),0,IF(GanttView[[#This Row],[_DoneTo]]&gt;0,GanttView[[#This Row],[_DoneTo]]+1,GanttView[[#This Row],[Forecast Start]])))</f>
        <v>0</v>
      </c>
      <c r="R205" s="123" t="n">
        <f aca="false">IF(GanttView[[#This Row],[_RemFrom]]=0,0,GanttView[[#This Row],[Forecast Finish]])</f>
        <v>0</v>
      </c>
      <c r="S205" s="122" t="b">
        <f aca="false">IF(IFERROR(INDEX(tsk_Name,GanttView[[#This Row],[_Row]])="",TRUE()),FALSE(),N(INDEX(tsk_Variance,GanttView[[#This Row],[_Row]]))&gt;0)</f>
        <v>0</v>
      </c>
      <c r="T205" s="123" t="n">
        <f aca="false">IF(IFERROR(INDEX(tsk_Name,GanttView[[#This Row],[_Row]])="",TRUE()),0,N(INDEX(tsk_Deadline,GanttView[[#This Row],[_Row]])))</f>
        <v>0</v>
      </c>
      <c r="U205" s="122" t="b">
        <f aca="false">IF(IFERROR(INDEX(tsk_Name,GanttView[[#This Row],[_Row]])="",TRUE()),FALSE(),INDEX(tsk_Critical,GanttView[[#This Row],[_Row]])="Yes")</f>
        <v>0</v>
      </c>
    </row>
  </sheetData>
  <conditionalFormatting sqref="W6:FP205">
    <cfRule type="expression" priority="2" aboveAverage="0" equalAverage="0" bottom="0" percent="0" rank="0" text="" dxfId="36">
      <formula>AND($T6&gt;0,$T6&gt;=W$5,$T6&lt;W$5+GanttPeriod)</formula>
    </cfRule>
    <cfRule type="expression" priority="3" aboveAverage="0" equalAverage="0" bottom="0" percent="0" rank="0" text="" dxfId="37">
      <formula>AND($M6,AND($G6&gt;0,W$5&lt;=$H6,W$5+GanttPeriod-1&gt;=$G6))</formula>
    </cfRule>
    <cfRule type="expression" priority="4" aboveAverage="0" equalAverage="0" bottom="0" percent="0" rank="0" text="" dxfId="38">
      <formula>AND($N6,AND($G6&gt;0,$G6&gt;=W$5,$G6&lt;W$5+GanttPeriod))</formula>
    </cfRule>
    <cfRule type="expression" priority="5" aboveAverage="0" equalAverage="0" bottom="0" percent="0" rank="0" text="" dxfId="39">
      <formula>AND($O6&gt;0,W$5&lt;=$P6,W$5+GanttPeriod-1&gt;=$O6)</formula>
    </cfRule>
    <cfRule type="expression" priority="6" aboveAverage="0" equalAverage="0" bottom="0" percent="0" rank="0" text="" dxfId="40">
      <formula>AND($U6,AND($Q6&gt;0,W$5&lt;=$R6,W$5+GanttPeriod-1&gt;=$Q6))</formula>
    </cfRule>
    <cfRule type="expression" priority="7" aboveAverage="0" equalAverage="0" bottom="0" percent="0" rank="0" text="" dxfId="41">
      <formula>AND($S6,AND($Q6&gt;0,W$5&lt;=$R6,W$5+GanttPeriod-1&gt;=$Q6))</formula>
    </cfRule>
    <cfRule type="expression" priority="8" aboveAverage="0" equalAverage="0" bottom="0" percent="0" rank="0" text="" dxfId="42">
      <formula>AND($Q6&gt;0,W$5&lt;=$R6,W$5+GanttPeriod-1&gt;=$Q6)</formula>
    </cfRule>
    <cfRule type="expression" priority="9" aboveAverage="0" equalAverage="0" bottom="0" percent="0" rank="0" text="" dxfId="43">
      <formula>AND(ISNUMBER($E6),AND($E6&gt;0,W$5&lt;=$F6,W$5+GanttPeriod-1&gt;=$E6))</formula>
    </cfRule>
    <cfRule type="expression" priority="10" aboveAverage="0" equalAverage="0" bottom="0" percent="0" rank="0" text="" dxfId="44">
      <formula>AND(StatusDate&gt;0,StatusDate&gt;=W$5,StatusDate&lt;W$5+GanttPeriod)</formula>
    </cfRule>
    <cfRule type="expression" priority="11" aboveAverage="0" equalAverage="0" bottom="0" percent="0" rank="0" text="" dxfId="45">
      <formula>AND(GanttPeriod=1,NETWORKDAYS.INTL(W$5,W$5,WorkWeek,Holidays)=0)</formula>
    </cfRule>
  </conditionalFormatting>
  <conditionalFormatting sqref="W5:FP5">
    <cfRule type="expression" priority="12" aboveAverage="0" equalAverage="0" bottom="0" percent="0" rank="0" text="" dxfId="36">
      <formula>AND(StatusDate&gt;0,StatusDate&gt;=W$5,StatusDate&lt;W$5+GanttPeriod)</formula>
    </cfRule>
  </conditionalFormatting>
  <conditionalFormatting sqref="A6:K205">
    <cfRule type="expression" priority="13" aboveAverage="0" equalAverage="0" bottom="0" percent="0" rank="0" text="" dxfId="29">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1">
      <formula>$K6="In Progress"</formula>
    </cfRule>
    <cfRule type="expression" priority="16" aboveAverage="0" equalAverage="0" bottom="0" percent="0" rank="0" text="" dxfId="20">
      <formula>$K6="Behind"</formula>
    </cfRule>
    <cfRule type="expression" priority="17" aboveAverage="0" equalAverage="0" bottom="0" percent="0" rank="0" text="" dxfId="26">
      <formula>$K6="Late Start"</formula>
    </cfRule>
    <cfRule type="expression" priority="18" aboveAverage="0" equalAverage="0" bottom="0" percent="0" rank="0" text="" dxfId="32">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594</v>
      </c>
    </row>
    <row r="2" customFormat="false" ht="15" hidden="false" customHeight="false" outlineLevel="0" collapsed="false">
      <c r="A2" s="8" t="s">
        <v>595</v>
      </c>
    </row>
    <row r="5" customFormat="false" ht="15" hidden="false" customHeight="false" outlineLevel="0" collapsed="false">
      <c r="B5" s="27" t="s">
        <v>596</v>
      </c>
      <c r="C5" s="27" t="s">
        <v>597</v>
      </c>
      <c r="D5" s="27" t="s">
        <v>598</v>
      </c>
      <c r="E5" s="27" t="s">
        <v>275</v>
      </c>
      <c r="F5" s="27" t="s">
        <v>231</v>
      </c>
      <c r="G5" s="27" t="s">
        <v>599</v>
      </c>
      <c r="H5" s="27" t="s">
        <v>600</v>
      </c>
      <c r="I5" s="9" t="s">
        <v>232</v>
      </c>
      <c r="J5" s="9" t="s">
        <v>233</v>
      </c>
      <c r="K5" s="9" t="s">
        <v>236</v>
      </c>
      <c r="L5" s="9" t="s">
        <v>237</v>
      </c>
      <c r="M5" s="27" t="s">
        <v>200</v>
      </c>
    </row>
    <row r="6" customFormat="false" ht="15" hidden="false" customHeight="false" outlineLevel="0" collapsed="false">
      <c r="B6" s="30"/>
      <c r="C6" s="30"/>
      <c r="D6" s="30"/>
      <c r="E6" s="30"/>
      <c r="F6" s="89"/>
      <c r="G6" s="98"/>
      <c r="H6" s="30"/>
      <c r="I6" s="94" t="str">
        <f aca="false">IF(ResourceTable[[#This Row],[Resource Name]]="","",COUNTIFS(tsk_Resource,ResourceTable[[#This Row],[Resource Name]],tsk_IsLeaf,1)+COUNTIFS(asg_Resource,ResourceTable[[#This Row],[Resource Name]],asg_Valid,1))</f>
        <v/>
      </c>
      <c r="J6" s="96" t="str">
        <f aca="false">IF(ResourceTable[[#This Row],[Resource Name]]="","",SUMIFS(tsk_LeafWork,tsk_Resource,ResourceTable[[#This Row],[Resource Name]])+SUMIFS(asg_Work,asg_Resource,ResourceTable[[#This Row],[Resource Name]]))</f>
        <v/>
      </c>
      <c r="K6" s="97" t="str">
        <f aca="false">IF(ResourceTable[[#This Row],[Resource Name]]="","",SUMIFS(tsk_LeafCost,tsk_Resource,ResourceTable[[#This Row],[Resource Name]])+SUMIFS(asg_Cost,asg_Resource,ResourceTable[[#This Row],[Resource Name]]))</f>
        <v/>
      </c>
      <c r="L6" s="97" t="str">
        <f aca="false">IF(ResourceTable[[#This Row],[Resource Name]]="","",SUMIFS(tsk_ResourceAC,tsk_Resource,ResourceTable[[#This Row],[Resource Name]])+SUMIFS(asg_ActualCost,asg_Resource,ResourceTable[[#This Row],[Resource Name]]))</f>
        <v/>
      </c>
      <c r="M6" s="30"/>
    </row>
    <row r="7" customFormat="false" ht="15" hidden="false" customHeight="false" outlineLevel="0" collapsed="false">
      <c r="B7" s="30"/>
      <c r="C7" s="30"/>
      <c r="D7" s="30"/>
      <c r="E7" s="30"/>
      <c r="F7" s="89"/>
      <c r="G7" s="98"/>
      <c r="H7" s="30"/>
      <c r="I7" s="94" t="str">
        <f aca="false">IF(ResourceTable[[#This Row],[Resource Name]]="","",COUNTIFS(tsk_Resource,ResourceTable[[#This Row],[Resource Name]],tsk_IsLeaf,1)+COUNTIFS(asg_Resource,ResourceTable[[#This Row],[Resource Name]],asg_Valid,1))</f>
        <v/>
      </c>
      <c r="J7" s="96" t="str">
        <f aca="false">IF(ResourceTable[[#This Row],[Resource Name]]="","",SUMIFS(tsk_LeafWork,tsk_Resource,ResourceTable[[#This Row],[Resource Name]])+SUMIFS(asg_Work,asg_Resource,ResourceTable[[#This Row],[Resource Name]]))</f>
        <v/>
      </c>
      <c r="K7" s="97" t="str">
        <f aca="false">IF(ResourceTable[[#This Row],[Resource Name]]="","",SUMIFS(tsk_LeafCost,tsk_Resource,ResourceTable[[#This Row],[Resource Name]])+SUMIFS(asg_Cost,asg_Resource,ResourceTable[[#This Row],[Resource Name]]))</f>
        <v/>
      </c>
      <c r="L7" s="97" t="str">
        <f aca="false">IF(ResourceTable[[#This Row],[Resource Name]]="","",SUMIFS(tsk_ResourceAC,tsk_Resource,ResourceTable[[#This Row],[Resource Name]])+SUMIFS(asg_ActualCost,asg_Resource,ResourceTable[[#This Row],[Resource Name]]))</f>
        <v/>
      </c>
      <c r="M7" s="30"/>
    </row>
    <row r="8" customFormat="false" ht="15" hidden="false" customHeight="false" outlineLevel="0" collapsed="false">
      <c r="B8" s="30"/>
      <c r="C8" s="30"/>
      <c r="D8" s="30"/>
      <c r="E8" s="30"/>
      <c r="F8" s="89"/>
      <c r="G8" s="98"/>
      <c r="H8" s="30"/>
      <c r="I8" s="94" t="str">
        <f aca="false">IF(ResourceTable[[#This Row],[Resource Name]]="","",COUNTIFS(tsk_Resource,ResourceTable[[#This Row],[Resource Name]],tsk_IsLeaf,1)+COUNTIFS(asg_Resource,ResourceTable[[#This Row],[Resource Name]],asg_Valid,1))</f>
        <v/>
      </c>
      <c r="J8" s="96" t="str">
        <f aca="false">IF(ResourceTable[[#This Row],[Resource Name]]="","",SUMIFS(tsk_LeafWork,tsk_Resource,ResourceTable[[#This Row],[Resource Name]])+SUMIFS(asg_Work,asg_Resource,ResourceTable[[#This Row],[Resource Name]]))</f>
        <v/>
      </c>
      <c r="K8" s="97" t="str">
        <f aca="false">IF(ResourceTable[[#This Row],[Resource Name]]="","",SUMIFS(tsk_LeafCost,tsk_Resource,ResourceTable[[#This Row],[Resource Name]])+SUMIFS(asg_Cost,asg_Resource,ResourceTable[[#This Row],[Resource Name]]))</f>
        <v/>
      </c>
      <c r="L8" s="97" t="str">
        <f aca="false">IF(ResourceTable[[#This Row],[Resource Name]]="","",SUMIFS(tsk_ResourceAC,tsk_Resource,ResourceTable[[#This Row],[Resource Name]])+SUMIFS(asg_ActualCost,asg_Resource,ResourceTable[[#This Row],[Resource Name]]))</f>
        <v/>
      </c>
      <c r="M8" s="30"/>
    </row>
    <row r="9" customFormat="false" ht="15" hidden="false" customHeight="false" outlineLevel="0" collapsed="false">
      <c r="B9" s="30"/>
      <c r="C9" s="30"/>
      <c r="D9" s="30"/>
      <c r="E9" s="30"/>
      <c r="F9" s="89"/>
      <c r="G9" s="98"/>
      <c r="H9" s="30"/>
      <c r="I9" s="94" t="str">
        <f aca="false">IF(ResourceTable[[#This Row],[Resource Name]]="","",COUNTIFS(tsk_Resource,ResourceTable[[#This Row],[Resource Name]],tsk_IsLeaf,1)+COUNTIFS(asg_Resource,ResourceTable[[#This Row],[Resource Name]],asg_Valid,1))</f>
        <v/>
      </c>
      <c r="J9" s="96" t="str">
        <f aca="false">IF(ResourceTable[[#This Row],[Resource Name]]="","",SUMIFS(tsk_LeafWork,tsk_Resource,ResourceTable[[#This Row],[Resource Name]])+SUMIFS(asg_Work,asg_Resource,ResourceTable[[#This Row],[Resource Name]]))</f>
        <v/>
      </c>
      <c r="K9" s="97" t="str">
        <f aca="false">IF(ResourceTable[[#This Row],[Resource Name]]="","",SUMIFS(tsk_LeafCost,tsk_Resource,ResourceTable[[#This Row],[Resource Name]])+SUMIFS(asg_Cost,asg_Resource,ResourceTable[[#This Row],[Resource Name]]))</f>
        <v/>
      </c>
      <c r="L9" s="97" t="str">
        <f aca="false">IF(ResourceTable[[#This Row],[Resource Name]]="","",SUMIFS(tsk_ResourceAC,tsk_Resource,ResourceTable[[#This Row],[Resource Name]])+SUMIFS(asg_ActualCost,asg_Resource,ResourceTable[[#This Row],[Resource Name]]))</f>
        <v/>
      </c>
      <c r="M9" s="30"/>
    </row>
    <row r="10" customFormat="false" ht="15" hidden="false" customHeight="false" outlineLevel="0" collapsed="false">
      <c r="B10" s="30"/>
      <c r="C10" s="30"/>
      <c r="D10" s="30"/>
      <c r="E10" s="30"/>
      <c r="F10" s="89"/>
      <c r="G10" s="98"/>
      <c r="H10" s="30"/>
      <c r="I10" s="94" t="str">
        <f aca="false">IF(ResourceTable[[#This Row],[Resource Name]]="","",COUNTIFS(tsk_Resource,ResourceTable[[#This Row],[Resource Name]],tsk_IsLeaf,1)+COUNTIFS(asg_Resource,ResourceTable[[#This Row],[Resource Name]],asg_Valid,1))</f>
        <v/>
      </c>
      <c r="J10" s="96" t="str">
        <f aca="false">IF(ResourceTable[[#This Row],[Resource Name]]="","",SUMIFS(tsk_LeafWork,tsk_Resource,ResourceTable[[#This Row],[Resource Name]])+SUMIFS(asg_Work,asg_Resource,ResourceTable[[#This Row],[Resource Name]]))</f>
        <v/>
      </c>
      <c r="K10" s="97" t="str">
        <f aca="false">IF(ResourceTable[[#This Row],[Resource Name]]="","",SUMIFS(tsk_LeafCost,tsk_Resource,ResourceTable[[#This Row],[Resource Name]])+SUMIFS(asg_Cost,asg_Resource,ResourceTable[[#This Row],[Resource Name]]))</f>
        <v/>
      </c>
      <c r="L10" s="97" t="str">
        <f aca="false">IF(ResourceTable[[#This Row],[Resource Name]]="","",SUMIFS(tsk_ResourceAC,tsk_Resource,ResourceTable[[#This Row],[Resource Name]])+SUMIFS(asg_ActualCost,asg_Resource,ResourceTable[[#This Row],[Resource Name]]))</f>
        <v/>
      </c>
      <c r="M10" s="30"/>
    </row>
    <row r="11" customFormat="false" ht="15" hidden="false" customHeight="false" outlineLevel="0" collapsed="false">
      <c r="B11" s="30"/>
      <c r="C11" s="30"/>
      <c r="D11" s="30"/>
      <c r="E11" s="30"/>
      <c r="F11" s="89"/>
      <c r="G11" s="98"/>
      <c r="H11" s="30"/>
      <c r="I11" s="94" t="str">
        <f aca="false">IF(ResourceTable[[#This Row],[Resource Name]]="","",COUNTIFS(tsk_Resource,ResourceTable[[#This Row],[Resource Name]],tsk_IsLeaf,1)+COUNTIFS(asg_Resource,ResourceTable[[#This Row],[Resource Name]],asg_Valid,1))</f>
        <v/>
      </c>
      <c r="J11" s="96" t="str">
        <f aca="false">IF(ResourceTable[[#This Row],[Resource Name]]="","",SUMIFS(tsk_LeafWork,tsk_Resource,ResourceTable[[#This Row],[Resource Name]])+SUMIFS(asg_Work,asg_Resource,ResourceTable[[#This Row],[Resource Name]]))</f>
        <v/>
      </c>
      <c r="K11" s="97" t="str">
        <f aca="false">IF(ResourceTable[[#This Row],[Resource Name]]="","",SUMIFS(tsk_LeafCost,tsk_Resource,ResourceTable[[#This Row],[Resource Name]])+SUMIFS(asg_Cost,asg_Resource,ResourceTable[[#This Row],[Resource Name]]))</f>
        <v/>
      </c>
      <c r="L11" s="97" t="str">
        <f aca="false">IF(ResourceTable[[#This Row],[Resource Name]]="","",SUMIFS(tsk_ResourceAC,tsk_Resource,ResourceTable[[#This Row],[Resource Name]])+SUMIFS(asg_ActualCost,asg_Resource,ResourceTable[[#This Row],[Resource Name]]))</f>
        <v/>
      </c>
      <c r="M11" s="30"/>
    </row>
    <row r="12" customFormat="false" ht="15" hidden="false" customHeight="false" outlineLevel="0" collapsed="false">
      <c r="B12" s="30"/>
      <c r="C12" s="30"/>
      <c r="D12" s="30"/>
      <c r="E12" s="30"/>
      <c r="F12" s="89"/>
      <c r="G12" s="98"/>
      <c r="H12" s="30"/>
      <c r="I12" s="94" t="str">
        <f aca="false">IF(ResourceTable[[#This Row],[Resource Name]]="","",COUNTIFS(tsk_Resource,ResourceTable[[#This Row],[Resource Name]],tsk_IsLeaf,1)+COUNTIFS(asg_Resource,ResourceTable[[#This Row],[Resource Name]],asg_Valid,1))</f>
        <v/>
      </c>
      <c r="J12" s="96" t="str">
        <f aca="false">IF(ResourceTable[[#This Row],[Resource Name]]="","",SUMIFS(tsk_LeafWork,tsk_Resource,ResourceTable[[#This Row],[Resource Name]])+SUMIFS(asg_Work,asg_Resource,ResourceTable[[#This Row],[Resource Name]]))</f>
        <v/>
      </c>
      <c r="K12" s="97" t="str">
        <f aca="false">IF(ResourceTable[[#This Row],[Resource Name]]="","",SUMIFS(tsk_LeafCost,tsk_Resource,ResourceTable[[#This Row],[Resource Name]])+SUMIFS(asg_Cost,asg_Resource,ResourceTable[[#This Row],[Resource Name]]))</f>
        <v/>
      </c>
      <c r="L12" s="97" t="str">
        <f aca="false">IF(ResourceTable[[#This Row],[Resource Name]]="","",SUMIFS(tsk_ResourceAC,tsk_Resource,ResourceTable[[#This Row],[Resource Name]])+SUMIFS(asg_ActualCost,asg_Resource,ResourceTable[[#This Row],[Resource Name]]))</f>
        <v/>
      </c>
      <c r="M12" s="30"/>
    </row>
    <row r="13" customFormat="false" ht="15" hidden="false" customHeight="false" outlineLevel="0" collapsed="false">
      <c r="B13" s="30"/>
      <c r="C13" s="30"/>
      <c r="D13" s="30"/>
      <c r="E13" s="30"/>
      <c r="F13" s="89"/>
      <c r="G13" s="98"/>
      <c r="H13" s="30"/>
      <c r="I13" s="94" t="str">
        <f aca="false">IF(ResourceTable[[#This Row],[Resource Name]]="","",COUNTIFS(tsk_Resource,ResourceTable[[#This Row],[Resource Name]],tsk_IsLeaf,1)+COUNTIFS(asg_Resource,ResourceTable[[#This Row],[Resource Name]],asg_Valid,1))</f>
        <v/>
      </c>
      <c r="J13" s="96" t="str">
        <f aca="false">IF(ResourceTable[[#This Row],[Resource Name]]="","",SUMIFS(tsk_LeafWork,tsk_Resource,ResourceTable[[#This Row],[Resource Name]])+SUMIFS(asg_Work,asg_Resource,ResourceTable[[#This Row],[Resource Name]]))</f>
        <v/>
      </c>
      <c r="K13" s="97" t="str">
        <f aca="false">IF(ResourceTable[[#This Row],[Resource Name]]="","",SUMIFS(tsk_LeafCost,tsk_Resource,ResourceTable[[#This Row],[Resource Name]])+SUMIFS(asg_Cost,asg_Resource,ResourceTable[[#This Row],[Resource Name]]))</f>
        <v/>
      </c>
      <c r="L13" s="97" t="str">
        <f aca="false">IF(ResourceTable[[#This Row],[Resource Name]]="","",SUMIFS(tsk_ResourceAC,tsk_Resource,ResourceTable[[#This Row],[Resource Name]])+SUMIFS(asg_ActualCost,asg_Resource,ResourceTable[[#This Row],[Resource Name]]))</f>
        <v/>
      </c>
      <c r="M13" s="30"/>
    </row>
    <row r="14" customFormat="false" ht="15" hidden="false" customHeight="false" outlineLevel="0" collapsed="false">
      <c r="B14" s="30"/>
      <c r="C14" s="30"/>
      <c r="D14" s="30"/>
      <c r="E14" s="30"/>
      <c r="F14" s="89"/>
      <c r="G14" s="98"/>
      <c r="H14" s="30"/>
      <c r="I14" s="94" t="str">
        <f aca="false">IF(ResourceTable[[#This Row],[Resource Name]]="","",COUNTIFS(tsk_Resource,ResourceTable[[#This Row],[Resource Name]],tsk_IsLeaf,1)+COUNTIFS(asg_Resource,ResourceTable[[#This Row],[Resource Name]],asg_Valid,1))</f>
        <v/>
      </c>
      <c r="J14" s="96" t="str">
        <f aca="false">IF(ResourceTable[[#This Row],[Resource Name]]="","",SUMIFS(tsk_LeafWork,tsk_Resource,ResourceTable[[#This Row],[Resource Name]])+SUMIFS(asg_Work,asg_Resource,ResourceTable[[#This Row],[Resource Name]]))</f>
        <v/>
      </c>
      <c r="K14" s="97" t="str">
        <f aca="false">IF(ResourceTable[[#This Row],[Resource Name]]="","",SUMIFS(tsk_LeafCost,tsk_Resource,ResourceTable[[#This Row],[Resource Name]])+SUMIFS(asg_Cost,asg_Resource,ResourceTable[[#This Row],[Resource Name]]))</f>
        <v/>
      </c>
      <c r="L14" s="97" t="str">
        <f aca="false">IF(ResourceTable[[#This Row],[Resource Name]]="","",SUMIFS(tsk_ResourceAC,tsk_Resource,ResourceTable[[#This Row],[Resource Name]])+SUMIFS(asg_ActualCost,asg_Resource,ResourceTable[[#This Row],[Resource Name]]))</f>
        <v/>
      </c>
      <c r="M14" s="30"/>
    </row>
    <row r="15" customFormat="false" ht="15" hidden="false" customHeight="false" outlineLevel="0" collapsed="false">
      <c r="B15" s="30"/>
      <c r="C15" s="30"/>
      <c r="D15" s="30"/>
      <c r="E15" s="30"/>
      <c r="F15" s="89"/>
      <c r="G15" s="98"/>
      <c r="H15" s="30"/>
      <c r="I15" s="94" t="str">
        <f aca="false">IF(ResourceTable[[#This Row],[Resource Name]]="","",COUNTIFS(tsk_Resource,ResourceTable[[#This Row],[Resource Name]],tsk_IsLeaf,1)+COUNTIFS(asg_Resource,ResourceTable[[#This Row],[Resource Name]],asg_Valid,1))</f>
        <v/>
      </c>
      <c r="J15" s="96" t="str">
        <f aca="false">IF(ResourceTable[[#This Row],[Resource Name]]="","",SUMIFS(tsk_LeafWork,tsk_Resource,ResourceTable[[#This Row],[Resource Name]])+SUMIFS(asg_Work,asg_Resource,ResourceTable[[#This Row],[Resource Name]]))</f>
        <v/>
      </c>
      <c r="K15" s="97" t="str">
        <f aca="false">IF(ResourceTable[[#This Row],[Resource Name]]="","",SUMIFS(tsk_LeafCost,tsk_Resource,ResourceTable[[#This Row],[Resource Name]])+SUMIFS(asg_Cost,asg_Resource,ResourceTable[[#This Row],[Resource Name]]))</f>
        <v/>
      </c>
      <c r="L15" s="97" t="str">
        <f aca="false">IF(ResourceTable[[#This Row],[Resource Name]]="","",SUMIFS(tsk_ResourceAC,tsk_Resource,ResourceTable[[#This Row],[Resource Name]])+SUMIFS(asg_ActualCost,asg_Resource,ResourceTable[[#This Row],[Resource Name]]))</f>
        <v/>
      </c>
      <c r="M15" s="30"/>
    </row>
    <row r="16" customFormat="false" ht="15" hidden="false" customHeight="false" outlineLevel="0" collapsed="false">
      <c r="B16" s="30"/>
      <c r="C16" s="30"/>
      <c r="D16" s="30"/>
      <c r="E16" s="30"/>
      <c r="F16" s="89"/>
      <c r="G16" s="98"/>
      <c r="H16" s="30"/>
      <c r="I16" s="94" t="str">
        <f aca="false">IF(ResourceTable[[#This Row],[Resource Name]]="","",COUNTIFS(tsk_Resource,ResourceTable[[#This Row],[Resource Name]],tsk_IsLeaf,1)+COUNTIFS(asg_Resource,ResourceTable[[#This Row],[Resource Name]],asg_Valid,1))</f>
        <v/>
      </c>
      <c r="J16" s="96" t="str">
        <f aca="false">IF(ResourceTable[[#This Row],[Resource Name]]="","",SUMIFS(tsk_LeafWork,tsk_Resource,ResourceTable[[#This Row],[Resource Name]])+SUMIFS(asg_Work,asg_Resource,ResourceTable[[#This Row],[Resource Name]]))</f>
        <v/>
      </c>
      <c r="K16" s="97" t="str">
        <f aca="false">IF(ResourceTable[[#This Row],[Resource Name]]="","",SUMIFS(tsk_LeafCost,tsk_Resource,ResourceTable[[#This Row],[Resource Name]])+SUMIFS(asg_Cost,asg_Resource,ResourceTable[[#This Row],[Resource Name]]))</f>
        <v/>
      </c>
      <c r="L16" s="97" t="str">
        <f aca="false">IF(ResourceTable[[#This Row],[Resource Name]]="","",SUMIFS(tsk_ResourceAC,tsk_Resource,ResourceTable[[#This Row],[Resource Name]])+SUMIFS(asg_ActualCost,asg_Resource,ResourceTable[[#This Row],[Resource Name]]))</f>
        <v/>
      </c>
      <c r="M16" s="30"/>
    </row>
    <row r="17" customFormat="false" ht="15" hidden="false" customHeight="false" outlineLevel="0" collapsed="false">
      <c r="B17" s="30"/>
      <c r="C17" s="30"/>
      <c r="D17" s="30"/>
      <c r="E17" s="30"/>
      <c r="F17" s="89"/>
      <c r="G17" s="98"/>
      <c r="H17" s="30"/>
      <c r="I17" s="94" t="str">
        <f aca="false">IF(ResourceTable[[#This Row],[Resource Name]]="","",COUNTIFS(tsk_Resource,ResourceTable[[#This Row],[Resource Name]],tsk_IsLeaf,1)+COUNTIFS(asg_Resource,ResourceTable[[#This Row],[Resource Name]],asg_Valid,1))</f>
        <v/>
      </c>
      <c r="J17" s="96" t="str">
        <f aca="false">IF(ResourceTable[[#This Row],[Resource Name]]="","",SUMIFS(tsk_LeafWork,tsk_Resource,ResourceTable[[#This Row],[Resource Name]])+SUMIFS(asg_Work,asg_Resource,ResourceTable[[#This Row],[Resource Name]]))</f>
        <v/>
      </c>
      <c r="K17" s="97" t="str">
        <f aca="false">IF(ResourceTable[[#This Row],[Resource Name]]="","",SUMIFS(tsk_LeafCost,tsk_Resource,ResourceTable[[#This Row],[Resource Name]])+SUMIFS(asg_Cost,asg_Resource,ResourceTable[[#This Row],[Resource Name]]))</f>
        <v/>
      </c>
      <c r="L17" s="97" t="str">
        <f aca="false">IF(ResourceTable[[#This Row],[Resource Name]]="","",SUMIFS(tsk_ResourceAC,tsk_Resource,ResourceTable[[#This Row],[Resource Name]])+SUMIFS(asg_ActualCost,asg_Resource,ResourceTable[[#This Row],[Resource Name]]))</f>
        <v/>
      </c>
      <c r="M17" s="30"/>
    </row>
    <row r="18" customFormat="false" ht="15" hidden="false" customHeight="false" outlineLevel="0" collapsed="false">
      <c r="B18" s="30"/>
      <c r="C18" s="30"/>
      <c r="D18" s="30"/>
      <c r="E18" s="30"/>
      <c r="F18" s="89"/>
      <c r="G18" s="98"/>
      <c r="H18" s="30"/>
      <c r="I18" s="94" t="str">
        <f aca="false">IF(ResourceTable[[#This Row],[Resource Name]]="","",COUNTIFS(tsk_Resource,ResourceTable[[#This Row],[Resource Name]],tsk_IsLeaf,1)+COUNTIFS(asg_Resource,ResourceTable[[#This Row],[Resource Name]],asg_Valid,1))</f>
        <v/>
      </c>
      <c r="J18" s="96" t="str">
        <f aca="false">IF(ResourceTable[[#This Row],[Resource Name]]="","",SUMIFS(tsk_LeafWork,tsk_Resource,ResourceTable[[#This Row],[Resource Name]])+SUMIFS(asg_Work,asg_Resource,ResourceTable[[#This Row],[Resource Name]]))</f>
        <v/>
      </c>
      <c r="K18" s="97" t="str">
        <f aca="false">IF(ResourceTable[[#This Row],[Resource Name]]="","",SUMIFS(tsk_LeafCost,tsk_Resource,ResourceTable[[#This Row],[Resource Name]])+SUMIFS(asg_Cost,asg_Resource,ResourceTable[[#This Row],[Resource Name]]))</f>
        <v/>
      </c>
      <c r="L18" s="97" t="str">
        <f aca="false">IF(ResourceTable[[#This Row],[Resource Name]]="","",SUMIFS(tsk_ResourceAC,tsk_Resource,ResourceTable[[#This Row],[Resource Name]])+SUMIFS(asg_ActualCost,asg_Resource,ResourceTable[[#This Row],[Resource Name]]))</f>
        <v/>
      </c>
      <c r="M18" s="30"/>
    </row>
    <row r="19" customFormat="false" ht="15" hidden="false" customHeight="false" outlineLevel="0" collapsed="false">
      <c r="B19" s="30"/>
      <c r="C19" s="30"/>
      <c r="D19" s="30"/>
      <c r="E19" s="30"/>
      <c r="F19" s="89"/>
      <c r="G19" s="98"/>
      <c r="H19" s="30"/>
      <c r="I19" s="94" t="str">
        <f aca="false">IF(ResourceTable[[#This Row],[Resource Name]]="","",COUNTIFS(tsk_Resource,ResourceTable[[#This Row],[Resource Name]],tsk_IsLeaf,1)+COUNTIFS(asg_Resource,ResourceTable[[#This Row],[Resource Name]],asg_Valid,1))</f>
        <v/>
      </c>
      <c r="J19" s="96" t="str">
        <f aca="false">IF(ResourceTable[[#This Row],[Resource Name]]="","",SUMIFS(tsk_LeafWork,tsk_Resource,ResourceTable[[#This Row],[Resource Name]])+SUMIFS(asg_Work,asg_Resource,ResourceTable[[#This Row],[Resource Name]]))</f>
        <v/>
      </c>
      <c r="K19" s="97" t="str">
        <f aca="false">IF(ResourceTable[[#This Row],[Resource Name]]="","",SUMIFS(tsk_LeafCost,tsk_Resource,ResourceTable[[#This Row],[Resource Name]])+SUMIFS(asg_Cost,asg_Resource,ResourceTable[[#This Row],[Resource Name]]))</f>
        <v/>
      </c>
      <c r="L19" s="97" t="str">
        <f aca="false">IF(ResourceTable[[#This Row],[Resource Name]]="","",SUMIFS(tsk_ResourceAC,tsk_Resource,ResourceTable[[#This Row],[Resource Name]])+SUMIFS(asg_ActualCost,asg_Resource,ResourceTable[[#This Row],[Resource Name]]))</f>
        <v/>
      </c>
      <c r="M19" s="30"/>
    </row>
    <row r="20" customFormat="false" ht="15" hidden="false" customHeight="false" outlineLevel="0" collapsed="false">
      <c r="B20" s="30"/>
      <c r="C20" s="30"/>
      <c r="D20" s="30"/>
      <c r="E20" s="30"/>
      <c r="F20" s="89"/>
      <c r="G20" s="98"/>
      <c r="H20" s="30"/>
      <c r="I20" s="94" t="str">
        <f aca="false">IF(ResourceTable[[#This Row],[Resource Name]]="","",COUNTIFS(tsk_Resource,ResourceTable[[#This Row],[Resource Name]],tsk_IsLeaf,1)+COUNTIFS(asg_Resource,ResourceTable[[#This Row],[Resource Name]],asg_Valid,1))</f>
        <v/>
      </c>
      <c r="J20" s="96" t="str">
        <f aca="false">IF(ResourceTable[[#This Row],[Resource Name]]="","",SUMIFS(tsk_LeafWork,tsk_Resource,ResourceTable[[#This Row],[Resource Name]])+SUMIFS(asg_Work,asg_Resource,ResourceTable[[#This Row],[Resource Name]]))</f>
        <v/>
      </c>
      <c r="K20" s="97" t="str">
        <f aca="false">IF(ResourceTable[[#This Row],[Resource Name]]="","",SUMIFS(tsk_LeafCost,tsk_Resource,ResourceTable[[#This Row],[Resource Name]])+SUMIFS(asg_Cost,asg_Resource,ResourceTable[[#This Row],[Resource Name]]))</f>
        <v/>
      </c>
      <c r="L20" s="97" t="str">
        <f aca="false">IF(ResourceTable[[#This Row],[Resource Name]]="","",SUMIFS(tsk_ResourceAC,tsk_Resource,ResourceTable[[#This Row],[Resource Name]])+SUMIFS(asg_ActualCost,asg_Resource,ResourceTable[[#This Row],[Resource Name]]))</f>
        <v/>
      </c>
      <c r="M20" s="30"/>
    </row>
    <row r="21" customFormat="false" ht="15" hidden="false" customHeight="false" outlineLevel="0" collapsed="false">
      <c r="B21" s="30"/>
      <c r="C21" s="30"/>
      <c r="D21" s="30"/>
      <c r="E21" s="30"/>
      <c r="F21" s="89"/>
      <c r="G21" s="98"/>
      <c r="H21" s="30"/>
      <c r="I21" s="94" t="str">
        <f aca="false">IF(ResourceTable[[#This Row],[Resource Name]]="","",COUNTIFS(tsk_Resource,ResourceTable[[#This Row],[Resource Name]],tsk_IsLeaf,1)+COUNTIFS(asg_Resource,ResourceTable[[#This Row],[Resource Name]],asg_Valid,1))</f>
        <v/>
      </c>
      <c r="J21" s="96" t="str">
        <f aca="false">IF(ResourceTable[[#This Row],[Resource Name]]="","",SUMIFS(tsk_LeafWork,tsk_Resource,ResourceTable[[#This Row],[Resource Name]])+SUMIFS(asg_Work,asg_Resource,ResourceTable[[#This Row],[Resource Name]]))</f>
        <v/>
      </c>
      <c r="K21" s="97" t="str">
        <f aca="false">IF(ResourceTable[[#This Row],[Resource Name]]="","",SUMIFS(tsk_LeafCost,tsk_Resource,ResourceTable[[#This Row],[Resource Name]])+SUMIFS(asg_Cost,asg_Resource,ResourceTable[[#This Row],[Resource Name]]))</f>
        <v/>
      </c>
      <c r="L21" s="97" t="str">
        <f aca="false">IF(ResourceTable[[#This Row],[Resource Name]]="","",SUMIFS(tsk_ResourceAC,tsk_Resource,ResourceTable[[#This Row],[Resource Name]])+SUMIFS(asg_ActualCost,asg_Resource,ResourceTable[[#This Row],[Resource Name]]))</f>
        <v/>
      </c>
      <c r="M21" s="30"/>
    </row>
    <row r="22" customFormat="false" ht="15" hidden="false" customHeight="false" outlineLevel="0" collapsed="false">
      <c r="B22" s="30"/>
      <c r="C22" s="30"/>
      <c r="D22" s="30"/>
      <c r="E22" s="30"/>
      <c r="F22" s="89"/>
      <c r="G22" s="98"/>
      <c r="H22" s="30"/>
      <c r="I22" s="94" t="str">
        <f aca="false">IF(ResourceTable[[#This Row],[Resource Name]]="","",COUNTIFS(tsk_Resource,ResourceTable[[#This Row],[Resource Name]],tsk_IsLeaf,1)+COUNTIFS(asg_Resource,ResourceTable[[#This Row],[Resource Name]],asg_Valid,1))</f>
        <v/>
      </c>
      <c r="J22" s="96" t="str">
        <f aca="false">IF(ResourceTable[[#This Row],[Resource Name]]="","",SUMIFS(tsk_LeafWork,tsk_Resource,ResourceTable[[#This Row],[Resource Name]])+SUMIFS(asg_Work,asg_Resource,ResourceTable[[#This Row],[Resource Name]]))</f>
        <v/>
      </c>
      <c r="K22" s="97" t="str">
        <f aca="false">IF(ResourceTable[[#This Row],[Resource Name]]="","",SUMIFS(tsk_LeafCost,tsk_Resource,ResourceTable[[#This Row],[Resource Name]])+SUMIFS(asg_Cost,asg_Resource,ResourceTable[[#This Row],[Resource Name]]))</f>
        <v/>
      </c>
      <c r="L22" s="97" t="str">
        <f aca="false">IF(ResourceTable[[#This Row],[Resource Name]]="","",SUMIFS(tsk_ResourceAC,tsk_Resource,ResourceTable[[#This Row],[Resource Name]])+SUMIFS(asg_ActualCost,asg_Resource,ResourceTable[[#This Row],[Resource Name]]))</f>
        <v/>
      </c>
      <c r="M22" s="30"/>
    </row>
    <row r="23" customFormat="false" ht="15" hidden="false" customHeight="false" outlineLevel="0" collapsed="false">
      <c r="B23" s="30"/>
      <c r="C23" s="30"/>
      <c r="D23" s="30"/>
      <c r="E23" s="30"/>
      <c r="F23" s="89"/>
      <c r="G23" s="98"/>
      <c r="H23" s="30"/>
      <c r="I23" s="94" t="str">
        <f aca="false">IF(ResourceTable[[#This Row],[Resource Name]]="","",COUNTIFS(tsk_Resource,ResourceTable[[#This Row],[Resource Name]],tsk_IsLeaf,1)+COUNTIFS(asg_Resource,ResourceTable[[#This Row],[Resource Name]],asg_Valid,1))</f>
        <v/>
      </c>
      <c r="J23" s="96" t="str">
        <f aca="false">IF(ResourceTable[[#This Row],[Resource Name]]="","",SUMIFS(tsk_LeafWork,tsk_Resource,ResourceTable[[#This Row],[Resource Name]])+SUMIFS(asg_Work,asg_Resource,ResourceTable[[#This Row],[Resource Name]]))</f>
        <v/>
      </c>
      <c r="K23" s="97" t="str">
        <f aca="false">IF(ResourceTable[[#This Row],[Resource Name]]="","",SUMIFS(tsk_LeafCost,tsk_Resource,ResourceTable[[#This Row],[Resource Name]])+SUMIFS(asg_Cost,asg_Resource,ResourceTable[[#This Row],[Resource Name]]))</f>
        <v/>
      </c>
      <c r="L23" s="97" t="str">
        <f aca="false">IF(ResourceTable[[#This Row],[Resource Name]]="","",SUMIFS(tsk_ResourceAC,tsk_Resource,ResourceTable[[#This Row],[Resource Name]])+SUMIFS(asg_ActualCost,asg_Resource,ResourceTable[[#This Row],[Resource Name]]))</f>
        <v/>
      </c>
      <c r="M23" s="30"/>
    </row>
    <row r="24" customFormat="false" ht="15" hidden="false" customHeight="false" outlineLevel="0" collapsed="false">
      <c r="B24" s="30"/>
      <c r="C24" s="30"/>
      <c r="D24" s="30"/>
      <c r="E24" s="30"/>
      <c r="F24" s="89"/>
      <c r="G24" s="98"/>
      <c r="H24" s="30"/>
      <c r="I24" s="94" t="str">
        <f aca="false">IF(ResourceTable[[#This Row],[Resource Name]]="","",COUNTIFS(tsk_Resource,ResourceTable[[#This Row],[Resource Name]],tsk_IsLeaf,1)+COUNTIFS(asg_Resource,ResourceTable[[#This Row],[Resource Name]],asg_Valid,1))</f>
        <v/>
      </c>
      <c r="J24" s="96" t="str">
        <f aca="false">IF(ResourceTable[[#This Row],[Resource Name]]="","",SUMIFS(tsk_LeafWork,tsk_Resource,ResourceTable[[#This Row],[Resource Name]])+SUMIFS(asg_Work,asg_Resource,ResourceTable[[#This Row],[Resource Name]]))</f>
        <v/>
      </c>
      <c r="K24" s="97" t="str">
        <f aca="false">IF(ResourceTable[[#This Row],[Resource Name]]="","",SUMIFS(tsk_LeafCost,tsk_Resource,ResourceTable[[#This Row],[Resource Name]])+SUMIFS(asg_Cost,asg_Resource,ResourceTable[[#This Row],[Resource Name]]))</f>
        <v/>
      </c>
      <c r="L24" s="97" t="str">
        <f aca="false">IF(ResourceTable[[#This Row],[Resource Name]]="","",SUMIFS(tsk_ResourceAC,tsk_Resource,ResourceTable[[#This Row],[Resource Name]])+SUMIFS(asg_ActualCost,asg_Resource,ResourceTable[[#This Row],[Resource Name]]))</f>
        <v/>
      </c>
      <c r="M24" s="30"/>
    </row>
    <row r="25" customFormat="false" ht="15" hidden="false" customHeight="false" outlineLevel="0" collapsed="false">
      <c r="B25" s="30"/>
      <c r="C25" s="30"/>
      <c r="D25" s="30"/>
      <c r="E25" s="30"/>
      <c r="F25" s="89"/>
      <c r="G25" s="98"/>
      <c r="H25" s="30"/>
      <c r="I25" s="94" t="str">
        <f aca="false">IF(ResourceTable[[#This Row],[Resource Name]]="","",COUNTIFS(tsk_Resource,ResourceTable[[#This Row],[Resource Name]],tsk_IsLeaf,1)+COUNTIFS(asg_Resource,ResourceTable[[#This Row],[Resource Name]],asg_Valid,1))</f>
        <v/>
      </c>
      <c r="J25" s="96" t="str">
        <f aca="false">IF(ResourceTable[[#This Row],[Resource Name]]="","",SUMIFS(tsk_LeafWork,tsk_Resource,ResourceTable[[#This Row],[Resource Name]])+SUMIFS(asg_Work,asg_Resource,ResourceTable[[#This Row],[Resource Name]]))</f>
        <v/>
      </c>
      <c r="K25" s="97" t="str">
        <f aca="false">IF(ResourceTable[[#This Row],[Resource Name]]="","",SUMIFS(tsk_LeafCost,tsk_Resource,ResourceTable[[#This Row],[Resource Name]])+SUMIFS(asg_Cost,asg_Resource,ResourceTable[[#This Row],[Resource Name]]))</f>
        <v/>
      </c>
      <c r="L25" s="97" t="str">
        <f aca="false">IF(ResourceTable[[#This Row],[Resource Name]]="","",SUMIFS(tsk_ResourceAC,tsk_Resource,ResourceTable[[#This Row],[Resource Name]])+SUMIFS(asg_ActualCost,asg_Resource,ResourceTable[[#This Row],[Resource Name]]))</f>
        <v/>
      </c>
      <c r="M25" s="30"/>
    </row>
    <row r="26" customFormat="false" ht="15" hidden="false" customHeight="false" outlineLevel="0" collapsed="false">
      <c r="B26" s="30"/>
      <c r="C26" s="30"/>
      <c r="D26" s="30"/>
      <c r="E26" s="30"/>
      <c r="F26" s="89"/>
      <c r="G26" s="98"/>
      <c r="H26" s="30"/>
      <c r="I26" s="94" t="str">
        <f aca="false">IF(ResourceTable[[#This Row],[Resource Name]]="","",COUNTIFS(tsk_Resource,ResourceTable[[#This Row],[Resource Name]],tsk_IsLeaf,1)+COUNTIFS(asg_Resource,ResourceTable[[#This Row],[Resource Name]],asg_Valid,1))</f>
        <v/>
      </c>
      <c r="J26" s="96" t="str">
        <f aca="false">IF(ResourceTable[[#This Row],[Resource Name]]="","",SUMIFS(tsk_LeafWork,tsk_Resource,ResourceTable[[#This Row],[Resource Name]])+SUMIFS(asg_Work,asg_Resource,ResourceTable[[#This Row],[Resource Name]]))</f>
        <v/>
      </c>
      <c r="K26" s="97" t="str">
        <f aca="false">IF(ResourceTable[[#This Row],[Resource Name]]="","",SUMIFS(tsk_LeafCost,tsk_Resource,ResourceTable[[#This Row],[Resource Name]])+SUMIFS(asg_Cost,asg_Resource,ResourceTable[[#This Row],[Resource Name]]))</f>
        <v/>
      </c>
      <c r="L26" s="97" t="str">
        <f aca="false">IF(ResourceTable[[#This Row],[Resource Name]]="","",SUMIFS(tsk_ResourceAC,tsk_Resource,ResourceTable[[#This Row],[Resource Name]])+SUMIFS(asg_ActualCost,asg_Resource,ResourceTable[[#This Row],[Resource Name]]))</f>
        <v/>
      </c>
      <c r="M26" s="30"/>
    </row>
    <row r="27" customFormat="false" ht="15" hidden="false" customHeight="false" outlineLevel="0" collapsed="false">
      <c r="B27" s="30"/>
      <c r="C27" s="30"/>
      <c r="D27" s="30"/>
      <c r="E27" s="30"/>
      <c r="F27" s="89"/>
      <c r="G27" s="98"/>
      <c r="H27" s="30"/>
      <c r="I27" s="94" t="str">
        <f aca="false">IF(ResourceTable[[#This Row],[Resource Name]]="","",COUNTIFS(tsk_Resource,ResourceTable[[#This Row],[Resource Name]],tsk_IsLeaf,1)+COUNTIFS(asg_Resource,ResourceTable[[#This Row],[Resource Name]],asg_Valid,1))</f>
        <v/>
      </c>
      <c r="J27" s="96" t="str">
        <f aca="false">IF(ResourceTable[[#This Row],[Resource Name]]="","",SUMIFS(tsk_LeafWork,tsk_Resource,ResourceTable[[#This Row],[Resource Name]])+SUMIFS(asg_Work,asg_Resource,ResourceTable[[#This Row],[Resource Name]]))</f>
        <v/>
      </c>
      <c r="K27" s="97" t="str">
        <f aca="false">IF(ResourceTable[[#This Row],[Resource Name]]="","",SUMIFS(tsk_LeafCost,tsk_Resource,ResourceTable[[#This Row],[Resource Name]])+SUMIFS(asg_Cost,asg_Resource,ResourceTable[[#This Row],[Resource Name]]))</f>
        <v/>
      </c>
      <c r="L27" s="97" t="str">
        <f aca="false">IF(ResourceTable[[#This Row],[Resource Name]]="","",SUMIFS(tsk_ResourceAC,tsk_Resource,ResourceTable[[#This Row],[Resource Name]])+SUMIFS(asg_ActualCost,asg_Resource,ResourceTable[[#This Row],[Resource Name]]))</f>
        <v/>
      </c>
      <c r="M27" s="30"/>
    </row>
    <row r="28" customFormat="false" ht="15" hidden="false" customHeight="false" outlineLevel="0" collapsed="false">
      <c r="B28" s="30"/>
      <c r="C28" s="30"/>
      <c r="D28" s="30"/>
      <c r="E28" s="30"/>
      <c r="F28" s="89"/>
      <c r="G28" s="98"/>
      <c r="H28" s="30"/>
      <c r="I28" s="94" t="str">
        <f aca="false">IF(ResourceTable[[#This Row],[Resource Name]]="","",COUNTIFS(tsk_Resource,ResourceTable[[#This Row],[Resource Name]],tsk_IsLeaf,1)+COUNTIFS(asg_Resource,ResourceTable[[#This Row],[Resource Name]],asg_Valid,1))</f>
        <v/>
      </c>
      <c r="J28" s="96" t="str">
        <f aca="false">IF(ResourceTable[[#This Row],[Resource Name]]="","",SUMIFS(tsk_LeafWork,tsk_Resource,ResourceTable[[#This Row],[Resource Name]])+SUMIFS(asg_Work,asg_Resource,ResourceTable[[#This Row],[Resource Name]]))</f>
        <v/>
      </c>
      <c r="K28" s="97" t="str">
        <f aca="false">IF(ResourceTable[[#This Row],[Resource Name]]="","",SUMIFS(tsk_LeafCost,tsk_Resource,ResourceTable[[#This Row],[Resource Name]])+SUMIFS(asg_Cost,asg_Resource,ResourceTable[[#This Row],[Resource Name]]))</f>
        <v/>
      </c>
      <c r="L28" s="97" t="str">
        <f aca="false">IF(ResourceTable[[#This Row],[Resource Name]]="","",SUMIFS(tsk_ResourceAC,tsk_Resource,ResourceTable[[#This Row],[Resource Name]])+SUMIFS(asg_ActualCost,asg_Resource,ResourceTable[[#This Row],[Resource Name]]))</f>
        <v/>
      </c>
      <c r="M28" s="30"/>
    </row>
    <row r="29" customFormat="false" ht="15" hidden="false" customHeight="false" outlineLevel="0" collapsed="false">
      <c r="B29" s="30"/>
      <c r="C29" s="30"/>
      <c r="D29" s="30"/>
      <c r="E29" s="30"/>
      <c r="F29" s="89"/>
      <c r="G29" s="98"/>
      <c r="H29" s="30"/>
      <c r="I29" s="94" t="str">
        <f aca="false">IF(ResourceTable[[#This Row],[Resource Name]]="","",COUNTIFS(tsk_Resource,ResourceTable[[#This Row],[Resource Name]],tsk_IsLeaf,1)+COUNTIFS(asg_Resource,ResourceTable[[#This Row],[Resource Name]],asg_Valid,1))</f>
        <v/>
      </c>
      <c r="J29" s="96" t="str">
        <f aca="false">IF(ResourceTable[[#This Row],[Resource Name]]="","",SUMIFS(tsk_LeafWork,tsk_Resource,ResourceTable[[#This Row],[Resource Name]])+SUMIFS(asg_Work,asg_Resource,ResourceTable[[#This Row],[Resource Name]]))</f>
        <v/>
      </c>
      <c r="K29" s="97" t="str">
        <f aca="false">IF(ResourceTable[[#This Row],[Resource Name]]="","",SUMIFS(tsk_LeafCost,tsk_Resource,ResourceTable[[#This Row],[Resource Name]])+SUMIFS(asg_Cost,asg_Resource,ResourceTable[[#This Row],[Resource Name]]))</f>
        <v/>
      </c>
      <c r="L29" s="97" t="str">
        <f aca="false">IF(ResourceTable[[#This Row],[Resource Name]]="","",SUMIFS(tsk_ResourceAC,tsk_Resource,ResourceTable[[#This Row],[Resource Name]])+SUMIFS(asg_ActualCost,asg_Resource,ResourceTable[[#This Row],[Resource Name]]))</f>
        <v/>
      </c>
      <c r="M29" s="30"/>
    </row>
    <row r="30" customFormat="false" ht="15" hidden="false" customHeight="false" outlineLevel="0" collapsed="false">
      <c r="B30" s="30"/>
      <c r="C30" s="30"/>
      <c r="D30" s="30"/>
      <c r="E30" s="30"/>
      <c r="F30" s="89"/>
      <c r="G30" s="98"/>
      <c r="H30" s="30"/>
      <c r="I30" s="94" t="str">
        <f aca="false">IF(ResourceTable[[#This Row],[Resource Name]]="","",COUNTIFS(tsk_Resource,ResourceTable[[#This Row],[Resource Name]],tsk_IsLeaf,1)+COUNTIFS(asg_Resource,ResourceTable[[#This Row],[Resource Name]],asg_Valid,1))</f>
        <v/>
      </c>
      <c r="J30" s="96" t="str">
        <f aca="false">IF(ResourceTable[[#This Row],[Resource Name]]="","",SUMIFS(tsk_LeafWork,tsk_Resource,ResourceTable[[#This Row],[Resource Name]])+SUMIFS(asg_Work,asg_Resource,ResourceTable[[#This Row],[Resource Name]]))</f>
        <v/>
      </c>
      <c r="K30" s="97" t="str">
        <f aca="false">IF(ResourceTable[[#This Row],[Resource Name]]="","",SUMIFS(tsk_LeafCost,tsk_Resource,ResourceTable[[#This Row],[Resource Name]])+SUMIFS(asg_Cost,asg_Resource,ResourceTable[[#This Row],[Resource Name]]))</f>
        <v/>
      </c>
      <c r="L30" s="97" t="str">
        <f aca="false">IF(ResourceTable[[#This Row],[Resource Name]]="","",SUMIFS(tsk_ResourceAC,tsk_Resource,ResourceTable[[#This Row],[Resource Name]])+SUMIFS(asg_ActualCost,asg_Resource,ResourceTable[[#This Row],[Resource Name]]))</f>
        <v/>
      </c>
      <c r="M30" s="30"/>
    </row>
    <row r="31" customFormat="false" ht="15" hidden="false" customHeight="false" outlineLevel="0" collapsed="false">
      <c r="B31" s="30"/>
      <c r="C31" s="30"/>
      <c r="D31" s="30"/>
      <c r="E31" s="30"/>
      <c r="F31" s="89"/>
      <c r="G31" s="98"/>
      <c r="H31" s="30"/>
      <c r="I31" s="94" t="str">
        <f aca="false">IF(ResourceTable[[#This Row],[Resource Name]]="","",COUNTIFS(tsk_Resource,ResourceTable[[#This Row],[Resource Name]],tsk_IsLeaf,1)+COUNTIFS(asg_Resource,ResourceTable[[#This Row],[Resource Name]],asg_Valid,1))</f>
        <v/>
      </c>
      <c r="J31" s="96" t="str">
        <f aca="false">IF(ResourceTable[[#This Row],[Resource Name]]="","",SUMIFS(tsk_LeafWork,tsk_Resource,ResourceTable[[#This Row],[Resource Name]])+SUMIFS(asg_Work,asg_Resource,ResourceTable[[#This Row],[Resource Name]]))</f>
        <v/>
      </c>
      <c r="K31" s="97" t="str">
        <f aca="false">IF(ResourceTable[[#This Row],[Resource Name]]="","",SUMIFS(tsk_LeafCost,tsk_Resource,ResourceTable[[#This Row],[Resource Name]])+SUMIFS(asg_Cost,asg_Resource,ResourceTable[[#This Row],[Resource Name]]))</f>
        <v/>
      </c>
      <c r="L31" s="97" t="str">
        <f aca="false">IF(ResourceTable[[#This Row],[Resource Name]]="","",SUMIFS(tsk_ResourceAC,tsk_Resource,ResourceTable[[#This Row],[Resource Name]])+SUMIFS(asg_ActualCost,asg_Resource,ResourceTable[[#This Row],[Resource Name]]))</f>
        <v/>
      </c>
      <c r="M31" s="30"/>
    </row>
    <row r="32" customFormat="false" ht="15" hidden="false" customHeight="false" outlineLevel="0" collapsed="false">
      <c r="B32" s="30"/>
      <c r="C32" s="30"/>
      <c r="D32" s="30"/>
      <c r="E32" s="30"/>
      <c r="F32" s="89"/>
      <c r="G32" s="98"/>
      <c r="H32" s="30"/>
      <c r="I32" s="94" t="str">
        <f aca="false">IF(ResourceTable[[#This Row],[Resource Name]]="","",COUNTIFS(tsk_Resource,ResourceTable[[#This Row],[Resource Name]],tsk_IsLeaf,1)+COUNTIFS(asg_Resource,ResourceTable[[#This Row],[Resource Name]],asg_Valid,1))</f>
        <v/>
      </c>
      <c r="J32" s="96" t="str">
        <f aca="false">IF(ResourceTable[[#This Row],[Resource Name]]="","",SUMIFS(tsk_LeafWork,tsk_Resource,ResourceTable[[#This Row],[Resource Name]])+SUMIFS(asg_Work,asg_Resource,ResourceTable[[#This Row],[Resource Name]]))</f>
        <v/>
      </c>
      <c r="K32" s="97" t="str">
        <f aca="false">IF(ResourceTable[[#This Row],[Resource Name]]="","",SUMIFS(tsk_LeafCost,tsk_Resource,ResourceTable[[#This Row],[Resource Name]])+SUMIFS(asg_Cost,asg_Resource,ResourceTable[[#This Row],[Resource Name]]))</f>
        <v/>
      </c>
      <c r="L32" s="97" t="str">
        <f aca="false">IF(ResourceTable[[#This Row],[Resource Name]]="","",SUMIFS(tsk_ResourceAC,tsk_Resource,ResourceTable[[#This Row],[Resource Name]])+SUMIFS(asg_ActualCost,asg_Resource,ResourceTable[[#This Row],[Resource Name]]))</f>
        <v/>
      </c>
      <c r="M32" s="30"/>
    </row>
    <row r="33" customFormat="false" ht="15" hidden="false" customHeight="false" outlineLevel="0" collapsed="false">
      <c r="B33" s="30"/>
      <c r="C33" s="30"/>
      <c r="D33" s="30"/>
      <c r="E33" s="30"/>
      <c r="F33" s="89"/>
      <c r="G33" s="98"/>
      <c r="H33" s="30"/>
      <c r="I33" s="94" t="str">
        <f aca="false">IF(ResourceTable[[#This Row],[Resource Name]]="","",COUNTIFS(tsk_Resource,ResourceTable[[#This Row],[Resource Name]],tsk_IsLeaf,1)+COUNTIFS(asg_Resource,ResourceTable[[#This Row],[Resource Name]],asg_Valid,1))</f>
        <v/>
      </c>
      <c r="J33" s="96" t="str">
        <f aca="false">IF(ResourceTable[[#This Row],[Resource Name]]="","",SUMIFS(tsk_LeafWork,tsk_Resource,ResourceTable[[#This Row],[Resource Name]])+SUMIFS(asg_Work,asg_Resource,ResourceTable[[#This Row],[Resource Name]]))</f>
        <v/>
      </c>
      <c r="K33" s="97" t="str">
        <f aca="false">IF(ResourceTable[[#This Row],[Resource Name]]="","",SUMIFS(tsk_LeafCost,tsk_Resource,ResourceTable[[#This Row],[Resource Name]])+SUMIFS(asg_Cost,asg_Resource,ResourceTable[[#This Row],[Resource Name]]))</f>
        <v/>
      </c>
      <c r="L33" s="97" t="str">
        <f aca="false">IF(ResourceTable[[#This Row],[Resource Name]]="","",SUMIFS(tsk_ResourceAC,tsk_Resource,ResourceTable[[#This Row],[Resource Name]])+SUMIFS(asg_ActualCost,asg_Resource,ResourceTable[[#This Row],[Resource Name]]))</f>
        <v/>
      </c>
      <c r="M33" s="30"/>
    </row>
    <row r="34" customFormat="false" ht="15" hidden="false" customHeight="false" outlineLevel="0" collapsed="false">
      <c r="B34" s="30"/>
      <c r="C34" s="30"/>
      <c r="D34" s="30"/>
      <c r="E34" s="30"/>
      <c r="F34" s="89"/>
      <c r="G34" s="98"/>
      <c r="H34" s="30"/>
      <c r="I34" s="94" t="str">
        <f aca="false">IF(ResourceTable[[#This Row],[Resource Name]]="","",COUNTIFS(tsk_Resource,ResourceTable[[#This Row],[Resource Name]],tsk_IsLeaf,1)+COUNTIFS(asg_Resource,ResourceTable[[#This Row],[Resource Name]],asg_Valid,1))</f>
        <v/>
      </c>
      <c r="J34" s="96" t="str">
        <f aca="false">IF(ResourceTable[[#This Row],[Resource Name]]="","",SUMIFS(tsk_LeafWork,tsk_Resource,ResourceTable[[#This Row],[Resource Name]])+SUMIFS(asg_Work,asg_Resource,ResourceTable[[#This Row],[Resource Name]]))</f>
        <v/>
      </c>
      <c r="K34" s="97" t="str">
        <f aca="false">IF(ResourceTable[[#This Row],[Resource Name]]="","",SUMIFS(tsk_LeafCost,tsk_Resource,ResourceTable[[#This Row],[Resource Name]])+SUMIFS(asg_Cost,asg_Resource,ResourceTable[[#This Row],[Resource Name]]))</f>
        <v/>
      </c>
      <c r="L34" s="97" t="str">
        <f aca="false">IF(ResourceTable[[#This Row],[Resource Name]]="","",SUMIFS(tsk_ResourceAC,tsk_Resource,ResourceTable[[#This Row],[Resource Name]])+SUMIFS(asg_ActualCost,asg_Resource,ResourceTable[[#This Row],[Resource Name]]))</f>
        <v/>
      </c>
      <c r="M34" s="30"/>
    </row>
    <row r="35" customFormat="false" ht="15" hidden="false" customHeight="false" outlineLevel="0" collapsed="false">
      <c r="B35" s="30"/>
      <c r="C35" s="30"/>
      <c r="D35" s="30"/>
      <c r="E35" s="30"/>
      <c r="F35" s="89"/>
      <c r="G35" s="98"/>
      <c r="H35" s="30"/>
      <c r="I35" s="94" t="str">
        <f aca="false">IF(ResourceTable[[#This Row],[Resource Name]]="","",COUNTIFS(tsk_Resource,ResourceTable[[#This Row],[Resource Name]],tsk_IsLeaf,1)+COUNTIFS(asg_Resource,ResourceTable[[#This Row],[Resource Name]],asg_Valid,1))</f>
        <v/>
      </c>
      <c r="J35" s="96" t="str">
        <f aca="false">IF(ResourceTable[[#This Row],[Resource Name]]="","",SUMIFS(tsk_LeafWork,tsk_Resource,ResourceTable[[#This Row],[Resource Name]])+SUMIFS(asg_Work,asg_Resource,ResourceTable[[#This Row],[Resource Name]]))</f>
        <v/>
      </c>
      <c r="K35" s="97" t="str">
        <f aca="false">IF(ResourceTable[[#This Row],[Resource Name]]="","",SUMIFS(tsk_LeafCost,tsk_Resource,ResourceTable[[#This Row],[Resource Name]])+SUMIFS(asg_Cost,asg_Resource,ResourceTable[[#This Row],[Resource Name]]))</f>
        <v/>
      </c>
      <c r="L35" s="97" t="str">
        <f aca="false">IF(ResourceTable[[#This Row],[Resource Name]]="","",SUMIFS(tsk_ResourceAC,tsk_Resource,ResourceTable[[#This Row],[Resource Name]])+SUMIFS(asg_ActualCost,asg_Resource,ResourceTable[[#This Row],[Resource Name]]))</f>
        <v/>
      </c>
      <c r="M35" s="30"/>
    </row>
    <row r="36" customFormat="false" ht="15" hidden="false" customHeight="false" outlineLevel="0" collapsed="false">
      <c r="B36" s="30"/>
      <c r="C36" s="30"/>
      <c r="D36" s="30"/>
      <c r="E36" s="30"/>
      <c r="F36" s="89"/>
      <c r="G36" s="98"/>
      <c r="H36" s="30"/>
      <c r="I36" s="94" t="str">
        <f aca="false">IF(ResourceTable[[#This Row],[Resource Name]]="","",COUNTIFS(tsk_Resource,ResourceTable[[#This Row],[Resource Name]],tsk_IsLeaf,1)+COUNTIFS(asg_Resource,ResourceTable[[#This Row],[Resource Name]],asg_Valid,1))</f>
        <v/>
      </c>
      <c r="J36" s="96" t="str">
        <f aca="false">IF(ResourceTable[[#This Row],[Resource Name]]="","",SUMIFS(tsk_LeafWork,tsk_Resource,ResourceTable[[#This Row],[Resource Name]])+SUMIFS(asg_Work,asg_Resource,ResourceTable[[#This Row],[Resource Name]]))</f>
        <v/>
      </c>
      <c r="K36" s="97" t="str">
        <f aca="false">IF(ResourceTable[[#This Row],[Resource Name]]="","",SUMIFS(tsk_LeafCost,tsk_Resource,ResourceTable[[#This Row],[Resource Name]])+SUMIFS(asg_Cost,asg_Resource,ResourceTable[[#This Row],[Resource Name]]))</f>
        <v/>
      </c>
      <c r="L36" s="97" t="str">
        <f aca="false">IF(ResourceTable[[#This Row],[Resource Name]]="","",SUMIFS(tsk_ResourceAC,tsk_Resource,ResourceTable[[#This Row],[Resource Name]])+SUMIFS(asg_ActualCost,asg_Resource,ResourceTable[[#This Row],[Resource Name]]))</f>
        <v/>
      </c>
      <c r="M36" s="30"/>
    </row>
    <row r="37" customFormat="false" ht="15" hidden="false" customHeight="false" outlineLevel="0" collapsed="false">
      <c r="B37" s="30"/>
      <c r="C37" s="30"/>
      <c r="D37" s="30"/>
      <c r="E37" s="30"/>
      <c r="F37" s="89"/>
      <c r="G37" s="98"/>
      <c r="H37" s="30"/>
      <c r="I37" s="94" t="str">
        <f aca="false">IF(ResourceTable[[#This Row],[Resource Name]]="","",COUNTIFS(tsk_Resource,ResourceTable[[#This Row],[Resource Name]],tsk_IsLeaf,1)+COUNTIFS(asg_Resource,ResourceTable[[#This Row],[Resource Name]],asg_Valid,1))</f>
        <v/>
      </c>
      <c r="J37" s="96" t="str">
        <f aca="false">IF(ResourceTable[[#This Row],[Resource Name]]="","",SUMIFS(tsk_LeafWork,tsk_Resource,ResourceTable[[#This Row],[Resource Name]])+SUMIFS(asg_Work,asg_Resource,ResourceTable[[#This Row],[Resource Name]]))</f>
        <v/>
      </c>
      <c r="K37" s="97" t="str">
        <f aca="false">IF(ResourceTable[[#This Row],[Resource Name]]="","",SUMIFS(tsk_LeafCost,tsk_Resource,ResourceTable[[#This Row],[Resource Name]])+SUMIFS(asg_Cost,asg_Resource,ResourceTable[[#This Row],[Resource Name]]))</f>
        <v/>
      </c>
      <c r="L37" s="97" t="str">
        <f aca="false">IF(ResourceTable[[#This Row],[Resource Name]]="","",SUMIFS(tsk_ResourceAC,tsk_Resource,ResourceTable[[#This Row],[Resource Name]])+SUMIFS(asg_ActualCost,asg_Resource,ResourceTable[[#This Row],[Resource Name]]))</f>
        <v/>
      </c>
      <c r="M37" s="30"/>
    </row>
    <row r="38" customFormat="false" ht="15" hidden="false" customHeight="false" outlineLevel="0" collapsed="false">
      <c r="B38" s="30"/>
      <c r="C38" s="30"/>
      <c r="D38" s="30"/>
      <c r="E38" s="30"/>
      <c r="F38" s="89"/>
      <c r="G38" s="98"/>
      <c r="H38" s="30"/>
      <c r="I38" s="94" t="str">
        <f aca="false">IF(ResourceTable[[#This Row],[Resource Name]]="","",COUNTIFS(tsk_Resource,ResourceTable[[#This Row],[Resource Name]],tsk_IsLeaf,1)+COUNTIFS(asg_Resource,ResourceTable[[#This Row],[Resource Name]],asg_Valid,1))</f>
        <v/>
      </c>
      <c r="J38" s="96" t="str">
        <f aca="false">IF(ResourceTable[[#This Row],[Resource Name]]="","",SUMIFS(tsk_LeafWork,tsk_Resource,ResourceTable[[#This Row],[Resource Name]])+SUMIFS(asg_Work,asg_Resource,ResourceTable[[#This Row],[Resource Name]]))</f>
        <v/>
      </c>
      <c r="K38" s="97" t="str">
        <f aca="false">IF(ResourceTable[[#This Row],[Resource Name]]="","",SUMIFS(tsk_LeafCost,tsk_Resource,ResourceTable[[#This Row],[Resource Name]])+SUMIFS(asg_Cost,asg_Resource,ResourceTable[[#This Row],[Resource Name]]))</f>
        <v/>
      </c>
      <c r="L38" s="97" t="str">
        <f aca="false">IF(ResourceTable[[#This Row],[Resource Name]]="","",SUMIFS(tsk_ResourceAC,tsk_Resource,ResourceTable[[#This Row],[Resource Name]])+SUMIFS(asg_ActualCost,asg_Resource,ResourceTable[[#This Row],[Resource Name]]))</f>
        <v/>
      </c>
      <c r="M38" s="30"/>
    </row>
    <row r="39" customFormat="false" ht="15" hidden="false" customHeight="false" outlineLevel="0" collapsed="false">
      <c r="B39" s="30"/>
      <c r="C39" s="30"/>
      <c r="D39" s="30"/>
      <c r="E39" s="30"/>
      <c r="F39" s="89"/>
      <c r="G39" s="98"/>
      <c r="H39" s="30"/>
      <c r="I39" s="94" t="str">
        <f aca="false">IF(ResourceTable[[#This Row],[Resource Name]]="","",COUNTIFS(tsk_Resource,ResourceTable[[#This Row],[Resource Name]],tsk_IsLeaf,1)+COUNTIFS(asg_Resource,ResourceTable[[#This Row],[Resource Name]],asg_Valid,1))</f>
        <v/>
      </c>
      <c r="J39" s="96" t="str">
        <f aca="false">IF(ResourceTable[[#This Row],[Resource Name]]="","",SUMIFS(tsk_LeafWork,tsk_Resource,ResourceTable[[#This Row],[Resource Name]])+SUMIFS(asg_Work,asg_Resource,ResourceTable[[#This Row],[Resource Name]]))</f>
        <v/>
      </c>
      <c r="K39" s="97" t="str">
        <f aca="false">IF(ResourceTable[[#This Row],[Resource Name]]="","",SUMIFS(tsk_LeafCost,tsk_Resource,ResourceTable[[#This Row],[Resource Name]])+SUMIFS(asg_Cost,asg_Resource,ResourceTable[[#This Row],[Resource Name]]))</f>
        <v/>
      </c>
      <c r="L39" s="97" t="str">
        <f aca="false">IF(ResourceTable[[#This Row],[Resource Name]]="","",SUMIFS(tsk_ResourceAC,tsk_Resource,ResourceTable[[#This Row],[Resource Name]])+SUMIFS(asg_ActualCost,asg_Resource,ResourceTable[[#This Row],[Resource Name]]))</f>
        <v/>
      </c>
      <c r="M39" s="30"/>
    </row>
    <row r="40" customFormat="false" ht="15" hidden="false" customHeight="false" outlineLevel="0" collapsed="false">
      <c r="B40" s="30"/>
      <c r="C40" s="30"/>
      <c r="D40" s="30"/>
      <c r="E40" s="30"/>
      <c r="F40" s="89"/>
      <c r="G40" s="98"/>
      <c r="H40" s="30"/>
      <c r="I40" s="94" t="str">
        <f aca="false">IF(ResourceTable[[#This Row],[Resource Name]]="","",COUNTIFS(tsk_Resource,ResourceTable[[#This Row],[Resource Name]],tsk_IsLeaf,1)+COUNTIFS(asg_Resource,ResourceTable[[#This Row],[Resource Name]],asg_Valid,1))</f>
        <v/>
      </c>
      <c r="J40" s="96" t="str">
        <f aca="false">IF(ResourceTable[[#This Row],[Resource Name]]="","",SUMIFS(tsk_LeafWork,tsk_Resource,ResourceTable[[#This Row],[Resource Name]])+SUMIFS(asg_Work,asg_Resource,ResourceTable[[#This Row],[Resource Name]]))</f>
        <v/>
      </c>
      <c r="K40" s="97" t="str">
        <f aca="false">IF(ResourceTable[[#This Row],[Resource Name]]="","",SUMIFS(tsk_LeafCost,tsk_Resource,ResourceTable[[#This Row],[Resource Name]])+SUMIFS(asg_Cost,asg_Resource,ResourceTable[[#This Row],[Resource Name]]))</f>
        <v/>
      </c>
      <c r="L40" s="97" t="str">
        <f aca="false">IF(ResourceTable[[#This Row],[Resource Name]]="","",SUMIFS(tsk_ResourceAC,tsk_Resource,ResourceTable[[#This Row],[Resource Name]])+SUMIFS(asg_ActualCost,asg_Resource,ResourceTable[[#This Row],[Resource Name]]))</f>
        <v/>
      </c>
      <c r="M40" s="30"/>
    </row>
    <row r="41" customFormat="false" ht="15" hidden="false" customHeight="false" outlineLevel="0" collapsed="false">
      <c r="B41" s="30"/>
      <c r="C41" s="30"/>
      <c r="D41" s="30"/>
      <c r="E41" s="30"/>
      <c r="F41" s="89"/>
      <c r="G41" s="98"/>
      <c r="H41" s="30"/>
      <c r="I41" s="94" t="str">
        <f aca="false">IF(ResourceTable[[#This Row],[Resource Name]]="","",COUNTIFS(tsk_Resource,ResourceTable[[#This Row],[Resource Name]],tsk_IsLeaf,1)+COUNTIFS(asg_Resource,ResourceTable[[#This Row],[Resource Name]],asg_Valid,1))</f>
        <v/>
      </c>
      <c r="J41" s="96" t="str">
        <f aca="false">IF(ResourceTable[[#This Row],[Resource Name]]="","",SUMIFS(tsk_LeafWork,tsk_Resource,ResourceTable[[#This Row],[Resource Name]])+SUMIFS(asg_Work,asg_Resource,ResourceTable[[#This Row],[Resource Name]]))</f>
        <v/>
      </c>
      <c r="K41" s="97" t="str">
        <f aca="false">IF(ResourceTable[[#This Row],[Resource Name]]="","",SUMIFS(tsk_LeafCost,tsk_Resource,ResourceTable[[#This Row],[Resource Name]])+SUMIFS(asg_Cost,asg_Resource,ResourceTable[[#This Row],[Resource Name]]))</f>
        <v/>
      </c>
      <c r="L41" s="97" t="str">
        <f aca="false">IF(ResourceTable[[#This Row],[Resource Name]]="","",SUMIFS(tsk_ResourceAC,tsk_Resource,ResourceTable[[#This Row],[Resource Name]])+SUMIFS(asg_ActualCost,asg_Resource,ResourceTable[[#This Row],[Resource Name]]))</f>
        <v/>
      </c>
      <c r="M41" s="30"/>
    </row>
    <row r="42" customFormat="false" ht="15" hidden="false" customHeight="false" outlineLevel="0" collapsed="false">
      <c r="B42" s="30"/>
      <c r="C42" s="30"/>
      <c r="D42" s="30"/>
      <c r="E42" s="30"/>
      <c r="F42" s="89"/>
      <c r="G42" s="98"/>
      <c r="H42" s="30"/>
      <c r="I42" s="94" t="str">
        <f aca="false">IF(ResourceTable[[#This Row],[Resource Name]]="","",COUNTIFS(tsk_Resource,ResourceTable[[#This Row],[Resource Name]],tsk_IsLeaf,1)+COUNTIFS(asg_Resource,ResourceTable[[#This Row],[Resource Name]],asg_Valid,1))</f>
        <v/>
      </c>
      <c r="J42" s="96" t="str">
        <f aca="false">IF(ResourceTable[[#This Row],[Resource Name]]="","",SUMIFS(tsk_LeafWork,tsk_Resource,ResourceTable[[#This Row],[Resource Name]])+SUMIFS(asg_Work,asg_Resource,ResourceTable[[#This Row],[Resource Name]]))</f>
        <v/>
      </c>
      <c r="K42" s="97" t="str">
        <f aca="false">IF(ResourceTable[[#This Row],[Resource Name]]="","",SUMIFS(tsk_LeafCost,tsk_Resource,ResourceTable[[#This Row],[Resource Name]])+SUMIFS(asg_Cost,asg_Resource,ResourceTable[[#This Row],[Resource Name]]))</f>
        <v/>
      </c>
      <c r="L42" s="97" t="str">
        <f aca="false">IF(ResourceTable[[#This Row],[Resource Name]]="","",SUMIFS(tsk_ResourceAC,tsk_Resource,ResourceTable[[#This Row],[Resource Name]])+SUMIFS(asg_ActualCost,asg_Resource,ResourceTable[[#This Row],[Resource Name]]))</f>
        <v/>
      </c>
      <c r="M42" s="30"/>
    </row>
    <row r="43" customFormat="false" ht="15" hidden="false" customHeight="false" outlineLevel="0" collapsed="false">
      <c r="B43" s="30"/>
      <c r="C43" s="30"/>
      <c r="D43" s="30"/>
      <c r="E43" s="30"/>
      <c r="F43" s="89"/>
      <c r="G43" s="98"/>
      <c r="H43" s="30"/>
      <c r="I43" s="94" t="str">
        <f aca="false">IF(ResourceTable[[#This Row],[Resource Name]]="","",COUNTIFS(tsk_Resource,ResourceTable[[#This Row],[Resource Name]],tsk_IsLeaf,1)+COUNTIFS(asg_Resource,ResourceTable[[#This Row],[Resource Name]],asg_Valid,1))</f>
        <v/>
      </c>
      <c r="J43" s="96" t="str">
        <f aca="false">IF(ResourceTable[[#This Row],[Resource Name]]="","",SUMIFS(tsk_LeafWork,tsk_Resource,ResourceTable[[#This Row],[Resource Name]])+SUMIFS(asg_Work,asg_Resource,ResourceTable[[#This Row],[Resource Name]]))</f>
        <v/>
      </c>
      <c r="K43" s="97" t="str">
        <f aca="false">IF(ResourceTable[[#This Row],[Resource Name]]="","",SUMIFS(tsk_LeafCost,tsk_Resource,ResourceTable[[#This Row],[Resource Name]])+SUMIFS(asg_Cost,asg_Resource,ResourceTable[[#This Row],[Resource Name]]))</f>
        <v/>
      </c>
      <c r="L43" s="97" t="str">
        <f aca="false">IF(ResourceTable[[#This Row],[Resource Name]]="","",SUMIFS(tsk_ResourceAC,tsk_Resource,ResourceTable[[#This Row],[Resource Name]])+SUMIFS(asg_ActualCost,asg_Resource,ResourceTable[[#This Row],[Resource Name]]))</f>
        <v/>
      </c>
      <c r="M43" s="30"/>
    </row>
    <row r="44" customFormat="false" ht="15" hidden="false" customHeight="false" outlineLevel="0" collapsed="false">
      <c r="B44" s="30"/>
      <c r="C44" s="30"/>
      <c r="D44" s="30"/>
      <c r="E44" s="30"/>
      <c r="F44" s="89"/>
      <c r="G44" s="98"/>
      <c r="H44" s="30"/>
      <c r="I44" s="94" t="str">
        <f aca="false">IF(ResourceTable[[#This Row],[Resource Name]]="","",COUNTIFS(tsk_Resource,ResourceTable[[#This Row],[Resource Name]],tsk_IsLeaf,1)+COUNTIFS(asg_Resource,ResourceTable[[#This Row],[Resource Name]],asg_Valid,1))</f>
        <v/>
      </c>
      <c r="J44" s="96" t="str">
        <f aca="false">IF(ResourceTable[[#This Row],[Resource Name]]="","",SUMIFS(tsk_LeafWork,tsk_Resource,ResourceTable[[#This Row],[Resource Name]])+SUMIFS(asg_Work,asg_Resource,ResourceTable[[#This Row],[Resource Name]]))</f>
        <v/>
      </c>
      <c r="K44" s="97" t="str">
        <f aca="false">IF(ResourceTable[[#This Row],[Resource Name]]="","",SUMIFS(tsk_LeafCost,tsk_Resource,ResourceTable[[#This Row],[Resource Name]])+SUMIFS(asg_Cost,asg_Resource,ResourceTable[[#This Row],[Resource Name]]))</f>
        <v/>
      </c>
      <c r="L44" s="97" t="str">
        <f aca="false">IF(ResourceTable[[#This Row],[Resource Name]]="","",SUMIFS(tsk_ResourceAC,tsk_Resource,ResourceTable[[#This Row],[Resource Name]])+SUMIFS(asg_ActualCost,asg_Resource,ResourceTable[[#This Row],[Resource Name]]))</f>
        <v/>
      </c>
      <c r="M44" s="30"/>
    </row>
    <row r="45" customFormat="false" ht="15" hidden="false" customHeight="false" outlineLevel="0" collapsed="false">
      <c r="B45" s="30"/>
      <c r="C45" s="30"/>
      <c r="D45" s="30"/>
      <c r="E45" s="30"/>
      <c r="F45" s="89"/>
      <c r="G45" s="98"/>
      <c r="H45" s="30"/>
      <c r="I45" s="94" t="str">
        <f aca="false">IF(ResourceTable[[#This Row],[Resource Name]]="","",COUNTIFS(tsk_Resource,ResourceTable[[#This Row],[Resource Name]],tsk_IsLeaf,1)+COUNTIFS(asg_Resource,ResourceTable[[#This Row],[Resource Name]],asg_Valid,1))</f>
        <v/>
      </c>
      <c r="J45" s="96" t="str">
        <f aca="false">IF(ResourceTable[[#This Row],[Resource Name]]="","",SUMIFS(tsk_LeafWork,tsk_Resource,ResourceTable[[#This Row],[Resource Name]])+SUMIFS(asg_Work,asg_Resource,ResourceTable[[#This Row],[Resource Name]]))</f>
        <v/>
      </c>
      <c r="K45" s="97" t="str">
        <f aca="false">IF(ResourceTable[[#This Row],[Resource Name]]="","",SUMIFS(tsk_LeafCost,tsk_Resource,ResourceTable[[#This Row],[Resource Name]])+SUMIFS(asg_Cost,asg_Resource,ResourceTable[[#This Row],[Resource Name]]))</f>
        <v/>
      </c>
      <c r="L45" s="97" t="str">
        <f aca="false">IF(ResourceTable[[#This Row],[Resource Name]]="","",SUMIFS(tsk_ResourceAC,tsk_Resource,ResourceTable[[#This Row],[Resource Name]])+SUMIFS(asg_ActualCost,asg_Resource,ResourceTable[[#This Row],[Resource Name]]))</f>
        <v/>
      </c>
      <c r="M45" s="30"/>
    </row>
    <row r="46" customFormat="false" ht="15" hidden="false" customHeight="false" outlineLevel="0" collapsed="false">
      <c r="B46" s="30"/>
      <c r="C46" s="30"/>
      <c r="D46" s="30"/>
      <c r="E46" s="30"/>
      <c r="F46" s="89"/>
      <c r="G46" s="98"/>
      <c r="H46" s="30"/>
      <c r="I46" s="94" t="str">
        <f aca="false">IF(ResourceTable[[#This Row],[Resource Name]]="","",COUNTIFS(tsk_Resource,ResourceTable[[#This Row],[Resource Name]],tsk_IsLeaf,1)+COUNTIFS(asg_Resource,ResourceTable[[#This Row],[Resource Name]],asg_Valid,1))</f>
        <v/>
      </c>
      <c r="J46" s="96" t="str">
        <f aca="false">IF(ResourceTable[[#This Row],[Resource Name]]="","",SUMIFS(tsk_LeafWork,tsk_Resource,ResourceTable[[#This Row],[Resource Name]])+SUMIFS(asg_Work,asg_Resource,ResourceTable[[#This Row],[Resource Name]]))</f>
        <v/>
      </c>
      <c r="K46" s="97" t="str">
        <f aca="false">IF(ResourceTable[[#This Row],[Resource Name]]="","",SUMIFS(tsk_LeafCost,tsk_Resource,ResourceTable[[#This Row],[Resource Name]])+SUMIFS(asg_Cost,asg_Resource,ResourceTable[[#This Row],[Resource Name]]))</f>
        <v/>
      </c>
      <c r="L46" s="97" t="str">
        <f aca="false">IF(ResourceTable[[#This Row],[Resource Name]]="","",SUMIFS(tsk_ResourceAC,tsk_Resource,ResourceTable[[#This Row],[Resource Name]])+SUMIFS(asg_ActualCost,asg_Resource,ResourceTable[[#This Row],[Resource Name]]))</f>
        <v/>
      </c>
      <c r="M46" s="30"/>
    </row>
    <row r="47" customFormat="false" ht="15" hidden="false" customHeight="false" outlineLevel="0" collapsed="false">
      <c r="B47" s="30"/>
      <c r="C47" s="30"/>
      <c r="D47" s="30"/>
      <c r="E47" s="30"/>
      <c r="F47" s="89"/>
      <c r="G47" s="98"/>
      <c r="H47" s="30"/>
      <c r="I47" s="94" t="str">
        <f aca="false">IF(ResourceTable[[#This Row],[Resource Name]]="","",COUNTIFS(tsk_Resource,ResourceTable[[#This Row],[Resource Name]],tsk_IsLeaf,1)+COUNTIFS(asg_Resource,ResourceTable[[#This Row],[Resource Name]],asg_Valid,1))</f>
        <v/>
      </c>
      <c r="J47" s="96" t="str">
        <f aca="false">IF(ResourceTable[[#This Row],[Resource Name]]="","",SUMIFS(tsk_LeafWork,tsk_Resource,ResourceTable[[#This Row],[Resource Name]])+SUMIFS(asg_Work,asg_Resource,ResourceTable[[#This Row],[Resource Name]]))</f>
        <v/>
      </c>
      <c r="K47" s="97" t="str">
        <f aca="false">IF(ResourceTable[[#This Row],[Resource Name]]="","",SUMIFS(tsk_LeafCost,tsk_Resource,ResourceTable[[#This Row],[Resource Name]])+SUMIFS(asg_Cost,asg_Resource,ResourceTable[[#This Row],[Resource Name]]))</f>
        <v/>
      </c>
      <c r="L47" s="97" t="str">
        <f aca="false">IF(ResourceTable[[#This Row],[Resource Name]]="","",SUMIFS(tsk_ResourceAC,tsk_Resource,ResourceTable[[#This Row],[Resource Name]])+SUMIFS(asg_ActualCost,asg_Resource,ResourceTable[[#This Row],[Resource Name]]))</f>
        <v/>
      </c>
      <c r="M47" s="30"/>
    </row>
    <row r="48" customFormat="false" ht="15" hidden="false" customHeight="false" outlineLevel="0" collapsed="false">
      <c r="B48" s="30"/>
      <c r="C48" s="30"/>
      <c r="D48" s="30"/>
      <c r="E48" s="30"/>
      <c r="F48" s="89"/>
      <c r="G48" s="98"/>
      <c r="H48" s="30"/>
      <c r="I48" s="94" t="str">
        <f aca="false">IF(ResourceTable[[#This Row],[Resource Name]]="","",COUNTIFS(tsk_Resource,ResourceTable[[#This Row],[Resource Name]],tsk_IsLeaf,1)+COUNTIFS(asg_Resource,ResourceTable[[#This Row],[Resource Name]],asg_Valid,1))</f>
        <v/>
      </c>
      <c r="J48" s="96" t="str">
        <f aca="false">IF(ResourceTable[[#This Row],[Resource Name]]="","",SUMIFS(tsk_LeafWork,tsk_Resource,ResourceTable[[#This Row],[Resource Name]])+SUMIFS(asg_Work,asg_Resource,ResourceTable[[#This Row],[Resource Name]]))</f>
        <v/>
      </c>
      <c r="K48" s="97" t="str">
        <f aca="false">IF(ResourceTable[[#This Row],[Resource Name]]="","",SUMIFS(tsk_LeafCost,tsk_Resource,ResourceTable[[#This Row],[Resource Name]])+SUMIFS(asg_Cost,asg_Resource,ResourceTable[[#This Row],[Resource Name]]))</f>
        <v/>
      </c>
      <c r="L48" s="97" t="str">
        <f aca="false">IF(ResourceTable[[#This Row],[Resource Name]]="","",SUMIFS(tsk_ResourceAC,tsk_Resource,ResourceTable[[#This Row],[Resource Name]])+SUMIFS(asg_ActualCost,asg_Resource,ResourceTable[[#This Row],[Resource Name]]))</f>
        <v/>
      </c>
      <c r="M48" s="30"/>
    </row>
    <row r="49" customFormat="false" ht="15" hidden="false" customHeight="false" outlineLevel="0" collapsed="false">
      <c r="B49" s="30"/>
      <c r="C49" s="30"/>
      <c r="D49" s="30"/>
      <c r="E49" s="30"/>
      <c r="F49" s="89"/>
      <c r="G49" s="98"/>
      <c r="H49" s="30"/>
      <c r="I49" s="94" t="str">
        <f aca="false">IF(ResourceTable[[#This Row],[Resource Name]]="","",COUNTIFS(tsk_Resource,ResourceTable[[#This Row],[Resource Name]],tsk_IsLeaf,1)+COUNTIFS(asg_Resource,ResourceTable[[#This Row],[Resource Name]],asg_Valid,1))</f>
        <v/>
      </c>
      <c r="J49" s="96" t="str">
        <f aca="false">IF(ResourceTable[[#This Row],[Resource Name]]="","",SUMIFS(tsk_LeafWork,tsk_Resource,ResourceTable[[#This Row],[Resource Name]])+SUMIFS(asg_Work,asg_Resource,ResourceTable[[#This Row],[Resource Name]]))</f>
        <v/>
      </c>
      <c r="K49" s="97" t="str">
        <f aca="false">IF(ResourceTable[[#This Row],[Resource Name]]="","",SUMIFS(tsk_LeafCost,tsk_Resource,ResourceTable[[#This Row],[Resource Name]])+SUMIFS(asg_Cost,asg_Resource,ResourceTable[[#This Row],[Resource Name]]))</f>
        <v/>
      </c>
      <c r="L49" s="97" t="str">
        <f aca="false">IF(ResourceTable[[#This Row],[Resource Name]]="","",SUMIFS(tsk_ResourceAC,tsk_Resource,ResourceTable[[#This Row],[Resource Name]])+SUMIFS(asg_ActualCost,asg_Resource,ResourceTable[[#This Row],[Resource Name]]))</f>
        <v/>
      </c>
      <c r="M49" s="30"/>
    </row>
    <row r="50" customFormat="false" ht="15" hidden="false" customHeight="false" outlineLevel="0" collapsed="false">
      <c r="B50" s="30"/>
      <c r="C50" s="30"/>
      <c r="D50" s="30"/>
      <c r="E50" s="30"/>
      <c r="F50" s="89"/>
      <c r="G50" s="98"/>
      <c r="H50" s="30"/>
      <c r="I50" s="94" t="str">
        <f aca="false">IF(ResourceTable[[#This Row],[Resource Name]]="","",COUNTIFS(tsk_Resource,ResourceTable[[#This Row],[Resource Name]],tsk_IsLeaf,1)+COUNTIFS(asg_Resource,ResourceTable[[#This Row],[Resource Name]],asg_Valid,1))</f>
        <v/>
      </c>
      <c r="J50" s="96" t="str">
        <f aca="false">IF(ResourceTable[[#This Row],[Resource Name]]="","",SUMIFS(tsk_LeafWork,tsk_Resource,ResourceTable[[#This Row],[Resource Name]])+SUMIFS(asg_Work,asg_Resource,ResourceTable[[#This Row],[Resource Name]]))</f>
        <v/>
      </c>
      <c r="K50" s="97" t="str">
        <f aca="false">IF(ResourceTable[[#This Row],[Resource Name]]="","",SUMIFS(tsk_LeafCost,tsk_Resource,ResourceTable[[#This Row],[Resource Name]])+SUMIFS(asg_Cost,asg_Resource,ResourceTable[[#This Row],[Resource Name]]))</f>
        <v/>
      </c>
      <c r="L50" s="97" t="str">
        <f aca="false">IF(ResourceTable[[#This Row],[Resource Name]]="","",SUMIFS(tsk_ResourceAC,tsk_Resource,ResourceTable[[#This Row],[Resource Name]])+SUMIFS(asg_ActualCost,asg_Resource,ResourceTable[[#This Row],[Resource Name]]))</f>
        <v/>
      </c>
      <c r="M50" s="30"/>
    </row>
    <row r="51" customFormat="false" ht="15" hidden="false" customHeight="false" outlineLevel="0" collapsed="false">
      <c r="B51" s="30"/>
      <c r="C51" s="30"/>
      <c r="D51" s="30"/>
      <c r="E51" s="30"/>
      <c r="F51" s="89"/>
      <c r="G51" s="98"/>
      <c r="H51" s="30"/>
      <c r="I51" s="94" t="str">
        <f aca="false">IF(ResourceTable[[#This Row],[Resource Name]]="","",COUNTIFS(tsk_Resource,ResourceTable[[#This Row],[Resource Name]],tsk_IsLeaf,1)+COUNTIFS(asg_Resource,ResourceTable[[#This Row],[Resource Name]],asg_Valid,1))</f>
        <v/>
      </c>
      <c r="J51" s="96" t="str">
        <f aca="false">IF(ResourceTable[[#This Row],[Resource Name]]="","",SUMIFS(tsk_LeafWork,tsk_Resource,ResourceTable[[#This Row],[Resource Name]])+SUMIFS(asg_Work,asg_Resource,ResourceTable[[#This Row],[Resource Name]]))</f>
        <v/>
      </c>
      <c r="K51" s="97" t="str">
        <f aca="false">IF(ResourceTable[[#This Row],[Resource Name]]="","",SUMIFS(tsk_LeafCost,tsk_Resource,ResourceTable[[#This Row],[Resource Name]])+SUMIFS(asg_Cost,asg_Resource,ResourceTable[[#This Row],[Resource Name]]))</f>
        <v/>
      </c>
      <c r="L51" s="97" t="str">
        <f aca="false">IF(ResourceTable[[#This Row],[Resource Name]]="","",SUMIFS(tsk_ResourceAC,tsk_Resource,ResourceTable[[#This Row],[Resource Name]])+SUMIFS(asg_ActualCost,asg_Resource,ResourceTable[[#This Row],[Resource Name]]))</f>
        <v/>
      </c>
      <c r="M51" s="30"/>
    </row>
    <row r="52" customFormat="false" ht="15" hidden="false" customHeight="false" outlineLevel="0" collapsed="false">
      <c r="B52" s="30"/>
      <c r="C52" s="30"/>
      <c r="D52" s="30"/>
      <c r="E52" s="30"/>
      <c r="F52" s="89"/>
      <c r="G52" s="98"/>
      <c r="H52" s="30"/>
      <c r="I52" s="94" t="str">
        <f aca="false">IF(ResourceTable[[#This Row],[Resource Name]]="","",COUNTIFS(tsk_Resource,ResourceTable[[#This Row],[Resource Name]],tsk_IsLeaf,1)+COUNTIFS(asg_Resource,ResourceTable[[#This Row],[Resource Name]],asg_Valid,1))</f>
        <v/>
      </c>
      <c r="J52" s="96" t="str">
        <f aca="false">IF(ResourceTable[[#This Row],[Resource Name]]="","",SUMIFS(tsk_LeafWork,tsk_Resource,ResourceTable[[#This Row],[Resource Name]])+SUMIFS(asg_Work,asg_Resource,ResourceTable[[#This Row],[Resource Name]]))</f>
        <v/>
      </c>
      <c r="K52" s="97" t="str">
        <f aca="false">IF(ResourceTable[[#This Row],[Resource Name]]="","",SUMIFS(tsk_LeafCost,tsk_Resource,ResourceTable[[#This Row],[Resource Name]])+SUMIFS(asg_Cost,asg_Resource,ResourceTable[[#This Row],[Resource Name]]))</f>
        <v/>
      </c>
      <c r="L52" s="97" t="str">
        <f aca="false">IF(ResourceTable[[#This Row],[Resource Name]]="","",SUMIFS(tsk_ResourceAC,tsk_Resource,ResourceTable[[#This Row],[Resource Name]])+SUMIFS(asg_ActualCost,asg_Resource,ResourceTable[[#This Row],[Resource Name]]))</f>
        <v/>
      </c>
      <c r="M52" s="30"/>
    </row>
    <row r="53" customFormat="false" ht="15" hidden="false" customHeight="false" outlineLevel="0" collapsed="false">
      <c r="B53" s="30"/>
      <c r="C53" s="30"/>
      <c r="D53" s="30"/>
      <c r="E53" s="30"/>
      <c r="F53" s="89"/>
      <c r="G53" s="98"/>
      <c r="H53" s="30"/>
      <c r="I53" s="94" t="str">
        <f aca="false">IF(ResourceTable[[#This Row],[Resource Name]]="","",COUNTIFS(tsk_Resource,ResourceTable[[#This Row],[Resource Name]],tsk_IsLeaf,1)+COUNTIFS(asg_Resource,ResourceTable[[#This Row],[Resource Name]],asg_Valid,1))</f>
        <v/>
      </c>
      <c r="J53" s="96" t="str">
        <f aca="false">IF(ResourceTable[[#This Row],[Resource Name]]="","",SUMIFS(tsk_LeafWork,tsk_Resource,ResourceTable[[#This Row],[Resource Name]])+SUMIFS(asg_Work,asg_Resource,ResourceTable[[#This Row],[Resource Name]]))</f>
        <v/>
      </c>
      <c r="K53" s="97" t="str">
        <f aca="false">IF(ResourceTable[[#This Row],[Resource Name]]="","",SUMIFS(tsk_LeafCost,tsk_Resource,ResourceTable[[#This Row],[Resource Name]])+SUMIFS(asg_Cost,asg_Resource,ResourceTable[[#This Row],[Resource Name]]))</f>
        <v/>
      </c>
      <c r="L53" s="97" t="str">
        <f aca="false">IF(ResourceTable[[#This Row],[Resource Name]]="","",SUMIFS(tsk_ResourceAC,tsk_Resource,ResourceTable[[#This Row],[Resource Name]])+SUMIFS(asg_ActualCost,asg_Resource,ResourceTable[[#This Row],[Resource Name]]))</f>
        <v/>
      </c>
      <c r="M53" s="30"/>
    </row>
    <row r="54" customFormat="false" ht="15" hidden="false" customHeight="false" outlineLevel="0" collapsed="false">
      <c r="B54" s="30"/>
      <c r="C54" s="30"/>
      <c r="D54" s="30"/>
      <c r="E54" s="30"/>
      <c r="F54" s="89"/>
      <c r="G54" s="98"/>
      <c r="H54" s="30"/>
      <c r="I54" s="94" t="str">
        <f aca="false">IF(ResourceTable[[#This Row],[Resource Name]]="","",COUNTIFS(tsk_Resource,ResourceTable[[#This Row],[Resource Name]],tsk_IsLeaf,1)+COUNTIFS(asg_Resource,ResourceTable[[#This Row],[Resource Name]],asg_Valid,1))</f>
        <v/>
      </c>
      <c r="J54" s="96" t="str">
        <f aca="false">IF(ResourceTable[[#This Row],[Resource Name]]="","",SUMIFS(tsk_LeafWork,tsk_Resource,ResourceTable[[#This Row],[Resource Name]])+SUMIFS(asg_Work,asg_Resource,ResourceTable[[#This Row],[Resource Name]]))</f>
        <v/>
      </c>
      <c r="K54" s="97" t="str">
        <f aca="false">IF(ResourceTable[[#This Row],[Resource Name]]="","",SUMIFS(tsk_LeafCost,tsk_Resource,ResourceTable[[#This Row],[Resource Name]])+SUMIFS(asg_Cost,asg_Resource,ResourceTable[[#This Row],[Resource Name]]))</f>
        <v/>
      </c>
      <c r="L54" s="97" t="str">
        <f aca="false">IF(ResourceTable[[#This Row],[Resource Name]]="","",SUMIFS(tsk_ResourceAC,tsk_Resource,ResourceTable[[#This Row],[Resource Name]])+SUMIFS(asg_ActualCost,asg_Resource,ResourceTable[[#This Row],[Resource Name]]))</f>
        <v/>
      </c>
      <c r="M54" s="30"/>
    </row>
    <row r="55" customFormat="false" ht="15" hidden="false" customHeight="false" outlineLevel="0" collapsed="false">
      <c r="B55" s="30"/>
      <c r="C55" s="30"/>
      <c r="D55" s="30"/>
      <c r="E55" s="30"/>
      <c r="F55" s="89"/>
      <c r="G55" s="98"/>
      <c r="H55" s="30"/>
      <c r="I55" s="94" t="str">
        <f aca="false">IF(ResourceTable[[#This Row],[Resource Name]]="","",COUNTIFS(tsk_Resource,ResourceTable[[#This Row],[Resource Name]],tsk_IsLeaf,1)+COUNTIFS(asg_Resource,ResourceTable[[#This Row],[Resource Name]],asg_Valid,1))</f>
        <v/>
      </c>
      <c r="J55" s="96" t="str">
        <f aca="false">IF(ResourceTable[[#This Row],[Resource Name]]="","",SUMIFS(tsk_LeafWork,tsk_Resource,ResourceTable[[#This Row],[Resource Name]])+SUMIFS(asg_Work,asg_Resource,ResourceTable[[#This Row],[Resource Name]]))</f>
        <v/>
      </c>
      <c r="K55" s="97" t="str">
        <f aca="false">IF(ResourceTable[[#This Row],[Resource Name]]="","",SUMIFS(tsk_LeafCost,tsk_Resource,ResourceTable[[#This Row],[Resource Name]])+SUMIFS(asg_Cost,asg_Resource,ResourceTable[[#This Row],[Resource Name]]))</f>
        <v/>
      </c>
      <c r="L55" s="97" t="str">
        <f aca="false">IF(ResourceTable[[#This Row],[Resource Name]]="","",SUMIFS(tsk_ResourceAC,tsk_Resource,ResourceTable[[#This Row],[Resource Name]])+SUMIFS(asg_ActualCost,asg_Resource,ResourceTable[[#This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26" t="s">
        <v>601</v>
      </c>
    </row>
    <row r="2" customFormat="false" ht="15" hidden="false" customHeight="false" outlineLevel="0" collapsed="false">
      <c r="A2" s="8" t="s">
        <v>602</v>
      </c>
    </row>
    <row r="5" customFormat="false" ht="35.05" hidden="false" customHeight="false" outlineLevel="0" collapsed="false">
      <c r="B5" s="27" t="s">
        <v>281</v>
      </c>
      <c r="C5" s="9" t="s">
        <v>187</v>
      </c>
      <c r="D5" s="27" t="s">
        <v>225</v>
      </c>
      <c r="E5" s="27" t="s">
        <v>475</v>
      </c>
      <c r="F5" s="9" t="s">
        <v>233</v>
      </c>
      <c r="G5" s="9" t="s">
        <v>236</v>
      </c>
      <c r="H5" s="9" t="s">
        <v>603</v>
      </c>
      <c r="I5" s="40" t="s">
        <v>604</v>
      </c>
      <c r="J5" s="40" t="s">
        <v>605</v>
      </c>
      <c r="K5" s="40" t="s">
        <v>606</v>
      </c>
      <c r="L5" s="40" t="s">
        <v>607</v>
      </c>
      <c r="M5" s="40" t="s">
        <v>608</v>
      </c>
      <c r="N5" s="40" t="s">
        <v>609</v>
      </c>
      <c r="O5" s="40" t="s">
        <v>610</v>
      </c>
      <c r="P5" s="40" t="s">
        <v>554</v>
      </c>
      <c r="Q5" s="40" t="s">
        <v>611</v>
      </c>
      <c r="R5" s="40" t="s">
        <v>612</v>
      </c>
      <c r="S5" s="40" t="s">
        <v>591</v>
      </c>
      <c r="T5" s="40" t="s">
        <v>593</v>
      </c>
      <c r="U5" s="40" t="s">
        <v>613</v>
      </c>
    </row>
    <row r="6" customFormat="false" ht="15" hidden="false" customHeight="false" outlineLevel="0" collapsed="false">
      <c r="B6" s="29"/>
      <c r="C6" s="24" t="str">
        <f aca="false">IF(AssignmentTable[[#This Row],[_TaskPos]]&lt;=0,"",INDEX(tsk_Name,AssignmentTable[[#This Row],[_TaskPos]])&amp;"")</f>
        <v/>
      </c>
      <c r="D6" s="30"/>
      <c r="E6" s="80"/>
      <c r="F6" s="96" t="n">
        <f aca="false">IF(AssignmentTable[[#This Row],[_Valid]]=1,N(INDEX(tsk_Duration,AssignmentTable[[#This Row],[_TaskPos]]))*HoursPerDay*IF(AssignmentTable[[#This Row],[Units]]="",DefaultUnits,AssignmentTable[[#This Row],[Units]]),0)</f>
        <v>0</v>
      </c>
      <c r="G6" s="97" t="n">
        <f aca="false">IF(AssignmentTable[[#This Row],[Work]]=0,0,AssignmentTable[[#This Row],[Work]]*IFERROR(INDEX(res_Rate,MATCH(AssignmentTable[[#This Row],[Resource]],res_Name,0)),0))</f>
        <v>0</v>
      </c>
      <c r="H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41" t="n">
        <f aca="false">IF(N(AssignmentTable[[#This Row],[Task UID]])=0,0,IFERROR(MATCH(AssignmentTable[[#This Row],[Task UID]],tsk_UID,0),-1))</f>
        <v>0</v>
      </c>
      <c r="J6" s="41" t="n">
        <f aca="false">IF(AND(AssignmentTable[[#This Row],[_TaskPos]]&gt;0,AssignmentTable[[#This Row],[Resource]]&lt;&gt;"",AssignmentTable[[#This Row],[Check]]=""),1,0)</f>
        <v>0</v>
      </c>
      <c r="K6" s="41" t="str">
        <f aca="false">IF(AssignmentTable[[#This Row],[_Valid]]=1,AssignmentTable[[#This Row],[Task UID]]*1000+COUNTIFS(AssignmentTable[[#Headers],[Task UID]]:AssignmentTable[[#This Row],[Task UID]],AssignmentTable[[#This Row],[Task UID]],AssignmentTable[[#Headers],[_Valid]]:AssignmentTable[[#This Row],[_Valid]],1),"")</f>
        <v/>
      </c>
      <c r="L6" s="41" t="str">
        <f aca="false">IF(AssignmentTable[[#This Row],[_Valid]]=1,AssignmentTable[[#This Row],[Resource]]&amp;IF(OR(AssignmentTable[[#This Row],[Units]]="",AssignmentTable[[#This Row],[Units]]=1),"","["&amp;ROUND(AssignmentTable[[#This Row],[Units]]*100,0)&amp;"%]"),"")</f>
        <v/>
      </c>
      <c r="M6" s="41" t="n">
        <f aca="false">IF(AssignmentTable[[#This Row],[_Valid]]=1,N(INDEX(tsk_StartWD,AssignmentTable[[#This Row],[_TaskPos]])),0)</f>
        <v>0</v>
      </c>
      <c r="N6" s="41" t="n">
        <f aca="false">IF(AssignmentTable[[#This Row],[_Valid]]=1,N(INDEX(tsk_FinishWD,AssignmentTable[[#This Row],[_TaskPos]])),0)</f>
        <v>0</v>
      </c>
      <c r="O6" s="41" t="n">
        <f aca="false">IF(OR(AssignmentTable[[#This Row],[Work]]=0,AssignmentTable[[#This Row],[_FinishWD]]=0),0,AssignmentTable[[#This Row],[Work]]/(AssignmentTable[[#This Row],[_FinishWD]]-AssignmentTable[[#This Row],[_StartWD]]+1))</f>
        <v>0</v>
      </c>
      <c r="P6" s="41" t="n">
        <f aca="false">AssignmentTable[[#This Row],[_WorkPerWD]]*MAX(0,AssignmentTable[[#This Row],[_StartWD]]-1)</f>
        <v>0</v>
      </c>
      <c r="Q6" s="41" t="n">
        <f aca="false">IF(AssignmentTable[[#This Row],[_Valid]]=1,AssignmentTable[[#This Row],[Work]]*N(INDEX(tsk_LeafProgress,AssignmentTable[[#This Row],[_TaskPos]])),0)</f>
        <v>0</v>
      </c>
      <c r="R6" s="41" t="n">
        <f aca="false">IF(NOT(AssignmentTable[[#This Row],[_Valid]]=1),0,IF(N(INDEX(tsk_LeafTotalCost,AssignmentTable[[#This Row],[_TaskPos]]))=0,0,N(INDEX(tsk_LeafAC,AssignmentTable[[#This Row],[_TaskPos]]))*AssignmentTable[[#This Row],[Cost]]/INDEX(tsk_LeafTotalCost,AssignmentTable[[#This Row],[_TaskPos]])))</f>
        <v>0</v>
      </c>
      <c r="S6" s="41" t="n">
        <f aca="false">IF(NOT(AssignmentTable[[#This Row],[_Valid]]=1),0,IF(N(INDEX(tsk_LateKey,AssignmentTable[[#This Row],[_TaskPos]]))&gt;0,1,0))</f>
        <v>0</v>
      </c>
      <c r="T6" s="41" t="n">
        <f aca="false">IF(NOT(AssignmentTable[[#This Row],[_Valid]]=1),0,IF(INDEX(tsk_Critical,AssignmentTable[[#This Row],[_TaskPos]])="Yes",1,0))</f>
        <v>0</v>
      </c>
      <c r="U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29"/>
      <c r="C7" s="24" t="str">
        <f aca="false">IF(AssignmentTable[[#This Row],[_TaskPos]]&lt;=0,"",INDEX(tsk_Name,AssignmentTable[[#This Row],[_TaskPos]])&amp;"")</f>
        <v/>
      </c>
      <c r="D7" s="30"/>
      <c r="E7" s="80"/>
      <c r="F7" s="96" t="n">
        <f aca="false">IF(AssignmentTable[[#This Row],[_Valid]]=1,N(INDEX(tsk_Duration,AssignmentTable[[#This Row],[_TaskPos]]))*HoursPerDay*IF(AssignmentTable[[#This Row],[Units]]="",DefaultUnits,AssignmentTable[[#This Row],[Units]]),0)</f>
        <v>0</v>
      </c>
      <c r="G7" s="97" t="n">
        <f aca="false">IF(AssignmentTable[[#This Row],[Work]]=0,0,AssignmentTable[[#This Row],[Work]]*IFERROR(INDEX(res_Rate,MATCH(AssignmentTable[[#This Row],[Resource]],res_Name,0)),0))</f>
        <v>0</v>
      </c>
      <c r="H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41" t="n">
        <f aca="false">IF(N(AssignmentTable[[#This Row],[Task UID]])=0,0,IFERROR(MATCH(AssignmentTable[[#This Row],[Task UID]],tsk_UID,0),-1))</f>
        <v>0</v>
      </c>
      <c r="J7" s="41" t="n">
        <f aca="false">IF(AND(AssignmentTable[[#This Row],[_TaskPos]]&gt;0,AssignmentTable[[#This Row],[Resource]]&lt;&gt;"",AssignmentTable[[#This Row],[Check]]=""),1,0)</f>
        <v>0</v>
      </c>
      <c r="K7" s="41" t="str">
        <f aca="false">IF(AssignmentTable[[#This Row],[_Valid]]=1,AssignmentTable[[#This Row],[Task UID]]*1000+COUNTIFS(AssignmentTable[[#Headers],[Task UID]]:AssignmentTable[[#This Row],[Task UID]],AssignmentTable[[#This Row],[Task UID]],AssignmentTable[[#Headers],[_Valid]]:AssignmentTable[[#This Row],[_Valid]],1),"")</f>
        <v/>
      </c>
      <c r="L7" s="41" t="str">
        <f aca="false">IF(AssignmentTable[[#This Row],[_Valid]]=1,AssignmentTable[[#This Row],[Resource]]&amp;IF(OR(AssignmentTable[[#This Row],[Units]]="",AssignmentTable[[#This Row],[Units]]=1),"","["&amp;ROUND(AssignmentTable[[#This Row],[Units]]*100,0)&amp;"%]"),"")</f>
        <v/>
      </c>
      <c r="M7" s="41" t="n">
        <f aca="false">IF(AssignmentTable[[#This Row],[_Valid]]=1,N(INDEX(tsk_StartWD,AssignmentTable[[#This Row],[_TaskPos]])),0)</f>
        <v>0</v>
      </c>
      <c r="N7" s="41" t="n">
        <f aca="false">IF(AssignmentTable[[#This Row],[_Valid]]=1,N(INDEX(tsk_FinishWD,AssignmentTable[[#This Row],[_TaskPos]])),0)</f>
        <v>0</v>
      </c>
      <c r="O7" s="41" t="n">
        <f aca="false">IF(OR(AssignmentTable[[#This Row],[Work]]=0,AssignmentTable[[#This Row],[_FinishWD]]=0),0,AssignmentTable[[#This Row],[Work]]/(AssignmentTable[[#This Row],[_FinishWD]]-AssignmentTable[[#This Row],[_StartWD]]+1))</f>
        <v>0</v>
      </c>
      <c r="P7" s="41" t="n">
        <f aca="false">AssignmentTable[[#This Row],[_WorkPerWD]]*MAX(0,AssignmentTable[[#This Row],[_StartWD]]-1)</f>
        <v>0</v>
      </c>
      <c r="Q7" s="41" t="n">
        <f aca="false">IF(AssignmentTable[[#This Row],[_Valid]]=1,AssignmentTable[[#This Row],[Work]]*N(INDEX(tsk_LeafProgress,AssignmentTable[[#This Row],[_TaskPos]])),0)</f>
        <v>0</v>
      </c>
      <c r="R7" s="41" t="n">
        <f aca="false">IF(NOT(AssignmentTable[[#This Row],[_Valid]]=1),0,IF(N(INDEX(tsk_LeafTotalCost,AssignmentTable[[#This Row],[_TaskPos]]))=0,0,N(INDEX(tsk_LeafAC,AssignmentTable[[#This Row],[_TaskPos]]))*AssignmentTable[[#This Row],[Cost]]/INDEX(tsk_LeafTotalCost,AssignmentTable[[#This Row],[_TaskPos]])))</f>
        <v>0</v>
      </c>
      <c r="S7" s="41" t="n">
        <f aca="false">IF(NOT(AssignmentTable[[#This Row],[_Valid]]=1),0,IF(N(INDEX(tsk_LateKey,AssignmentTable[[#This Row],[_TaskPos]]))&gt;0,1,0))</f>
        <v>0</v>
      </c>
      <c r="T7" s="41" t="n">
        <f aca="false">IF(NOT(AssignmentTable[[#This Row],[_Valid]]=1),0,IF(INDEX(tsk_Critical,AssignmentTable[[#This Row],[_TaskPos]])="Yes",1,0))</f>
        <v>0</v>
      </c>
      <c r="U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29"/>
      <c r="C8" s="24" t="str">
        <f aca="false">IF(AssignmentTable[[#This Row],[_TaskPos]]&lt;=0,"",INDEX(tsk_Name,AssignmentTable[[#This Row],[_TaskPos]])&amp;"")</f>
        <v/>
      </c>
      <c r="D8" s="30"/>
      <c r="E8" s="80"/>
      <c r="F8" s="96" t="n">
        <f aca="false">IF(AssignmentTable[[#This Row],[_Valid]]=1,N(INDEX(tsk_Duration,AssignmentTable[[#This Row],[_TaskPos]]))*HoursPerDay*IF(AssignmentTable[[#This Row],[Units]]="",DefaultUnits,AssignmentTable[[#This Row],[Units]]),0)</f>
        <v>0</v>
      </c>
      <c r="G8" s="97" t="n">
        <f aca="false">IF(AssignmentTable[[#This Row],[Work]]=0,0,AssignmentTable[[#This Row],[Work]]*IFERROR(INDEX(res_Rate,MATCH(AssignmentTable[[#This Row],[Resource]],res_Name,0)),0))</f>
        <v>0</v>
      </c>
      <c r="H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41" t="n">
        <f aca="false">IF(N(AssignmentTable[[#This Row],[Task UID]])=0,0,IFERROR(MATCH(AssignmentTable[[#This Row],[Task UID]],tsk_UID,0),-1))</f>
        <v>0</v>
      </c>
      <c r="J8" s="41" t="n">
        <f aca="false">IF(AND(AssignmentTable[[#This Row],[_TaskPos]]&gt;0,AssignmentTable[[#This Row],[Resource]]&lt;&gt;"",AssignmentTable[[#This Row],[Check]]=""),1,0)</f>
        <v>0</v>
      </c>
      <c r="K8" s="41" t="str">
        <f aca="false">IF(AssignmentTable[[#This Row],[_Valid]]=1,AssignmentTable[[#This Row],[Task UID]]*1000+COUNTIFS(AssignmentTable[[#Headers],[Task UID]]:AssignmentTable[[#This Row],[Task UID]],AssignmentTable[[#This Row],[Task UID]],AssignmentTable[[#Headers],[_Valid]]:AssignmentTable[[#This Row],[_Valid]],1),"")</f>
        <v/>
      </c>
      <c r="L8" s="41" t="str">
        <f aca="false">IF(AssignmentTable[[#This Row],[_Valid]]=1,AssignmentTable[[#This Row],[Resource]]&amp;IF(OR(AssignmentTable[[#This Row],[Units]]="",AssignmentTable[[#This Row],[Units]]=1),"","["&amp;ROUND(AssignmentTable[[#This Row],[Units]]*100,0)&amp;"%]"),"")</f>
        <v/>
      </c>
      <c r="M8" s="41" t="n">
        <f aca="false">IF(AssignmentTable[[#This Row],[_Valid]]=1,N(INDEX(tsk_StartWD,AssignmentTable[[#This Row],[_TaskPos]])),0)</f>
        <v>0</v>
      </c>
      <c r="N8" s="41" t="n">
        <f aca="false">IF(AssignmentTable[[#This Row],[_Valid]]=1,N(INDEX(tsk_FinishWD,AssignmentTable[[#This Row],[_TaskPos]])),0)</f>
        <v>0</v>
      </c>
      <c r="O8" s="41" t="n">
        <f aca="false">IF(OR(AssignmentTable[[#This Row],[Work]]=0,AssignmentTable[[#This Row],[_FinishWD]]=0),0,AssignmentTable[[#This Row],[Work]]/(AssignmentTable[[#This Row],[_FinishWD]]-AssignmentTable[[#This Row],[_StartWD]]+1))</f>
        <v>0</v>
      </c>
      <c r="P8" s="41" t="n">
        <f aca="false">AssignmentTable[[#This Row],[_WorkPerWD]]*MAX(0,AssignmentTable[[#This Row],[_StartWD]]-1)</f>
        <v>0</v>
      </c>
      <c r="Q8" s="41" t="n">
        <f aca="false">IF(AssignmentTable[[#This Row],[_Valid]]=1,AssignmentTable[[#This Row],[Work]]*N(INDEX(tsk_LeafProgress,AssignmentTable[[#This Row],[_TaskPos]])),0)</f>
        <v>0</v>
      </c>
      <c r="R8" s="41" t="n">
        <f aca="false">IF(NOT(AssignmentTable[[#This Row],[_Valid]]=1),0,IF(N(INDEX(tsk_LeafTotalCost,AssignmentTable[[#This Row],[_TaskPos]]))=0,0,N(INDEX(tsk_LeafAC,AssignmentTable[[#This Row],[_TaskPos]]))*AssignmentTable[[#This Row],[Cost]]/INDEX(tsk_LeafTotalCost,AssignmentTable[[#This Row],[_TaskPos]])))</f>
        <v>0</v>
      </c>
      <c r="S8" s="41" t="n">
        <f aca="false">IF(NOT(AssignmentTable[[#This Row],[_Valid]]=1),0,IF(N(INDEX(tsk_LateKey,AssignmentTable[[#This Row],[_TaskPos]]))&gt;0,1,0))</f>
        <v>0</v>
      </c>
      <c r="T8" s="41" t="n">
        <f aca="false">IF(NOT(AssignmentTable[[#This Row],[_Valid]]=1),0,IF(INDEX(tsk_Critical,AssignmentTable[[#This Row],[_TaskPos]])="Yes",1,0))</f>
        <v>0</v>
      </c>
      <c r="U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29"/>
      <c r="C9" s="24" t="str">
        <f aca="false">IF(AssignmentTable[[#This Row],[_TaskPos]]&lt;=0,"",INDEX(tsk_Name,AssignmentTable[[#This Row],[_TaskPos]])&amp;"")</f>
        <v/>
      </c>
      <c r="D9" s="30"/>
      <c r="E9" s="80"/>
      <c r="F9" s="96" t="n">
        <f aca="false">IF(AssignmentTable[[#This Row],[_Valid]]=1,N(INDEX(tsk_Duration,AssignmentTable[[#This Row],[_TaskPos]]))*HoursPerDay*IF(AssignmentTable[[#This Row],[Units]]="",DefaultUnits,AssignmentTable[[#This Row],[Units]]),0)</f>
        <v>0</v>
      </c>
      <c r="G9" s="97" t="n">
        <f aca="false">IF(AssignmentTable[[#This Row],[Work]]=0,0,AssignmentTable[[#This Row],[Work]]*IFERROR(INDEX(res_Rate,MATCH(AssignmentTable[[#This Row],[Resource]],res_Name,0)),0))</f>
        <v>0</v>
      </c>
      <c r="H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41" t="n">
        <f aca="false">IF(N(AssignmentTable[[#This Row],[Task UID]])=0,0,IFERROR(MATCH(AssignmentTable[[#This Row],[Task UID]],tsk_UID,0),-1))</f>
        <v>0</v>
      </c>
      <c r="J9" s="41" t="n">
        <f aca="false">IF(AND(AssignmentTable[[#This Row],[_TaskPos]]&gt;0,AssignmentTable[[#This Row],[Resource]]&lt;&gt;"",AssignmentTable[[#This Row],[Check]]=""),1,0)</f>
        <v>0</v>
      </c>
      <c r="K9" s="41" t="str">
        <f aca="false">IF(AssignmentTable[[#This Row],[_Valid]]=1,AssignmentTable[[#This Row],[Task UID]]*1000+COUNTIFS(AssignmentTable[[#Headers],[Task UID]]:AssignmentTable[[#This Row],[Task UID]],AssignmentTable[[#This Row],[Task UID]],AssignmentTable[[#Headers],[_Valid]]:AssignmentTable[[#This Row],[_Valid]],1),"")</f>
        <v/>
      </c>
      <c r="L9" s="41" t="str">
        <f aca="false">IF(AssignmentTable[[#This Row],[_Valid]]=1,AssignmentTable[[#This Row],[Resource]]&amp;IF(OR(AssignmentTable[[#This Row],[Units]]="",AssignmentTable[[#This Row],[Units]]=1),"","["&amp;ROUND(AssignmentTable[[#This Row],[Units]]*100,0)&amp;"%]"),"")</f>
        <v/>
      </c>
      <c r="M9" s="41" t="n">
        <f aca="false">IF(AssignmentTable[[#This Row],[_Valid]]=1,N(INDEX(tsk_StartWD,AssignmentTable[[#This Row],[_TaskPos]])),0)</f>
        <v>0</v>
      </c>
      <c r="N9" s="41" t="n">
        <f aca="false">IF(AssignmentTable[[#This Row],[_Valid]]=1,N(INDEX(tsk_FinishWD,AssignmentTable[[#This Row],[_TaskPos]])),0)</f>
        <v>0</v>
      </c>
      <c r="O9" s="41" t="n">
        <f aca="false">IF(OR(AssignmentTable[[#This Row],[Work]]=0,AssignmentTable[[#This Row],[_FinishWD]]=0),0,AssignmentTable[[#This Row],[Work]]/(AssignmentTable[[#This Row],[_FinishWD]]-AssignmentTable[[#This Row],[_StartWD]]+1))</f>
        <v>0</v>
      </c>
      <c r="P9" s="41" t="n">
        <f aca="false">AssignmentTable[[#This Row],[_WorkPerWD]]*MAX(0,AssignmentTable[[#This Row],[_StartWD]]-1)</f>
        <v>0</v>
      </c>
      <c r="Q9" s="41" t="n">
        <f aca="false">IF(AssignmentTable[[#This Row],[_Valid]]=1,AssignmentTable[[#This Row],[Work]]*N(INDEX(tsk_LeafProgress,AssignmentTable[[#This Row],[_TaskPos]])),0)</f>
        <v>0</v>
      </c>
      <c r="R9" s="41" t="n">
        <f aca="false">IF(NOT(AssignmentTable[[#This Row],[_Valid]]=1),0,IF(N(INDEX(tsk_LeafTotalCost,AssignmentTable[[#This Row],[_TaskPos]]))=0,0,N(INDEX(tsk_LeafAC,AssignmentTable[[#This Row],[_TaskPos]]))*AssignmentTable[[#This Row],[Cost]]/INDEX(tsk_LeafTotalCost,AssignmentTable[[#This Row],[_TaskPos]])))</f>
        <v>0</v>
      </c>
      <c r="S9" s="41" t="n">
        <f aca="false">IF(NOT(AssignmentTable[[#This Row],[_Valid]]=1),0,IF(N(INDEX(tsk_LateKey,AssignmentTable[[#This Row],[_TaskPos]]))&gt;0,1,0))</f>
        <v>0</v>
      </c>
      <c r="T9" s="41" t="n">
        <f aca="false">IF(NOT(AssignmentTable[[#This Row],[_Valid]]=1),0,IF(INDEX(tsk_Critical,AssignmentTable[[#This Row],[_TaskPos]])="Yes",1,0))</f>
        <v>0</v>
      </c>
      <c r="U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29"/>
      <c r="C10" s="24" t="str">
        <f aca="false">IF(AssignmentTable[[#This Row],[_TaskPos]]&lt;=0,"",INDEX(tsk_Name,AssignmentTable[[#This Row],[_TaskPos]])&amp;"")</f>
        <v/>
      </c>
      <c r="D10" s="30"/>
      <c r="E10" s="80"/>
      <c r="F10" s="96" t="n">
        <f aca="false">IF(AssignmentTable[[#This Row],[_Valid]]=1,N(INDEX(tsk_Duration,AssignmentTable[[#This Row],[_TaskPos]]))*HoursPerDay*IF(AssignmentTable[[#This Row],[Units]]="",DefaultUnits,AssignmentTable[[#This Row],[Units]]),0)</f>
        <v>0</v>
      </c>
      <c r="G10" s="97" t="n">
        <f aca="false">IF(AssignmentTable[[#This Row],[Work]]=0,0,AssignmentTable[[#This Row],[Work]]*IFERROR(INDEX(res_Rate,MATCH(AssignmentTable[[#This Row],[Resource]],res_Name,0)),0))</f>
        <v>0</v>
      </c>
      <c r="H1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41" t="n">
        <f aca="false">IF(N(AssignmentTable[[#This Row],[Task UID]])=0,0,IFERROR(MATCH(AssignmentTable[[#This Row],[Task UID]],tsk_UID,0),-1))</f>
        <v>0</v>
      </c>
      <c r="J10" s="41" t="n">
        <f aca="false">IF(AND(AssignmentTable[[#This Row],[_TaskPos]]&gt;0,AssignmentTable[[#This Row],[Resource]]&lt;&gt;"",AssignmentTable[[#This Row],[Check]]=""),1,0)</f>
        <v>0</v>
      </c>
      <c r="K10" s="41" t="str">
        <f aca="false">IF(AssignmentTable[[#This Row],[_Valid]]=1,AssignmentTable[[#This Row],[Task UID]]*1000+COUNTIFS(AssignmentTable[[#Headers],[Task UID]]:AssignmentTable[[#This Row],[Task UID]],AssignmentTable[[#This Row],[Task UID]],AssignmentTable[[#Headers],[_Valid]]:AssignmentTable[[#This Row],[_Valid]],1),"")</f>
        <v/>
      </c>
      <c r="L10" s="41" t="str">
        <f aca="false">IF(AssignmentTable[[#This Row],[_Valid]]=1,AssignmentTable[[#This Row],[Resource]]&amp;IF(OR(AssignmentTable[[#This Row],[Units]]="",AssignmentTable[[#This Row],[Units]]=1),"","["&amp;ROUND(AssignmentTable[[#This Row],[Units]]*100,0)&amp;"%]"),"")</f>
        <v/>
      </c>
      <c r="M10" s="41" t="n">
        <f aca="false">IF(AssignmentTable[[#This Row],[_Valid]]=1,N(INDEX(tsk_StartWD,AssignmentTable[[#This Row],[_TaskPos]])),0)</f>
        <v>0</v>
      </c>
      <c r="N10" s="41" t="n">
        <f aca="false">IF(AssignmentTable[[#This Row],[_Valid]]=1,N(INDEX(tsk_FinishWD,AssignmentTable[[#This Row],[_TaskPos]])),0)</f>
        <v>0</v>
      </c>
      <c r="O10" s="41" t="n">
        <f aca="false">IF(OR(AssignmentTable[[#This Row],[Work]]=0,AssignmentTable[[#This Row],[_FinishWD]]=0),0,AssignmentTable[[#This Row],[Work]]/(AssignmentTable[[#This Row],[_FinishWD]]-AssignmentTable[[#This Row],[_StartWD]]+1))</f>
        <v>0</v>
      </c>
      <c r="P10" s="41" t="n">
        <f aca="false">AssignmentTable[[#This Row],[_WorkPerWD]]*MAX(0,AssignmentTable[[#This Row],[_StartWD]]-1)</f>
        <v>0</v>
      </c>
      <c r="Q10" s="41" t="n">
        <f aca="false">IF(AssignmentTable[[#This Row],[_Valid]]=1,AssignmentTable[[#This Row],[Work]]*N(INDEX(tsk_LeafProgress,AssignmentTable[[#This Row],[_TaskPos]])),0)</f>
        <v>0</v>
      </c>
      <c r="R10" s="41" t="n">
        <f aca="false">IF(NOT(AssignmentTable[[#This Row],[_Valid]]=1),0,IF(N(INDEX(tsk_LeafTotalCost,AssignmentTable[[#This Row],[_TaskPos]]))=0,0,N(INDEX(tsk_LeafAC,AssignmentTable[[#This Row],[_TaskPos]]))*AssignmentTable[[#This Row],[Cost]]/INDEX(tsk_LeafTotalCost,AssignmentTable[[#This Row],[_TaskPos]])))</f>
        <v>0</v>
      </c>
      <c r="S10" s="41" t="n">
        <f aca="false">IF(NOT(AssignmentTable[[#This Row],[_Valid]]=1),0,IF(N(INDEX(tsk_LateKey,AssignmentTable[[#This Row],[_TaskPos]]))&gt;0,1,0))</f>
        <v>0</v>
      </c>
      <c r="T10" s="41" t="n">
        <f aca="false">IF(NOT(AssignmentTable[[#This Row],[_Valid]]=1),0,IF(INDEX(tsk_Critical,AssignmentTable[[#This Row],[_TaskPos]])="Yes",1,0))</f>
        <v>0</v>
      </c>
      <c r="U1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29"/>
      <c r="C11" s="24" t="str">
        <f aca="false">IF(AssignmentTable[[#This Row],[_TaskPos]]&lt;=0,"",INDEX(tsk_Name,AssignmentTable[[#This Row],[_TaskPos]])&amp;"")</f>
        <v/>
      </c>
      <c r="D11" s="30"/>
      <c r="E11" s="80"/>
      <c r="F11" s="96" t="n">
        <f aca="false">IF(AssignmentTable[[#This Row],[_Valid]]=1,N(INDEX(tsk_Duration,AssignmentTable[[#This Row],[_TaskPos]]))*HoursPerDay*IF(AssignmentTable[[#This Row],[Units]]="",DefaultUnits,AssignmentTable[[#This Row],[Units]]),0)</f>
        <v>0</v>
      </c>
      <c r="G11" s="97" t="n">
        <f aca="false">IF(AssignmentTable[[#This Row],[Work]]=0,0,AssignmentTable[[#This Row],[Work]]*IFERROR(INDEX(res_Rate,MATCH(AssignmentTable[[#This Row],[Resource]],res_Name,0)),0))</f>
        <v>0</v>
      </c>
      <c r="H1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41" t="n">
        <f aca="false">IF(N(AssignmentTable[[#This Row],[Task UID]])=0,0,IFERROR(MATCH(AssignmentTable[[#This Row],[Task UID]],tsk_UID,0),-1))</f>
        <v>0</v>
      </c>
      <c r="J11" s="41" t="n">
        <f aca="false">IF(AND(AssignmentTable[[#This Row],[_TaskPos]]&gt;0,AssignmentTable[[#This Row],[Resource]]&lt;&gt;"",AssignmentTable[[#This Row],[Check]]=""),1,0)</f>
        <v>0</v>
      </c>
      <c r="K11" s="41" t="str">
        <f aca="false">IF(AssignmentTable[[#This Row],[_Valid]]=1,AssignmentTable[[#This Row],[Task UID]]*1000+COUNTIFS(AssignmentTable[[#Headers],[Task UID]]:AssignmentTable[[#This Row],[Task UID]],AssignmentTable[[#This Row],[Task UID]],AssignmentTable[[#Headers],[_Valid]]:AssignmentTable[[#This Row],[_Valid]],1),"")</f>
        <v/>
      </c>
      <c r="L11" s="41" t="str">
        <f aca="false">IF(AssignmentTable[[#This Row],[_Valid]]=1,AssignmentTable[[#This Row],[Resource]]&amp;IF(OR(AssignmentTable[[#This Row],[Units]]="",AssignmentTable[[#This Row],[Units]]=1),"","["&amp;ROUND(AssignmentTable[[#This Row],[Units]]*100,0)&amp;"%]"),"")</f>
        <v/>
      </c>
      <c r="M11" s="41" t="n">
        <f aca="false">IF(AssignmentTable[[#This Row],[_Valid]]=1,N(INDEX(tsk_StartWD,AssignmentTable[[#This Row],[_TaskPos]])),0)</f>
        <v>0</v>
      </c>
      <c r="N11" s="41" t="n">
        <f aca="false">IF(AssignmentTable[[#This Row],[_Valid]]=1,N(INDEX(tsk_FinishWD,AssignmentTable[[#This Row],[_TaskPos]])),0)</f>
        <v>0</v>
      </c>
      <c r="O11" s="41" t="n">
        <f aca="false">IF(OR(AssignmentTable[[#This Row],[Work]]=0,AssignmentTable[[#This Row],[_FinishWD]]=0),0,AssignmentTable[[#This Row],[Work]]/(AssignmentTable[[#This Row],[_FinishWD]]-AssignmentTable[[#This Row],[_StartWD]]+1))</f>
        <v>0</v>
      </c>
      <c r="P11" s="41" t="n">
        <f aca="false">AssignmentTable[[#This Row],[_WorkPerWD]]*MAX(0,AssignmentTable[[#This Row],[_StartWD]]-1)</f>
        <v>0</v>
      </c>
      <c r="Q11" s="41" t="n">
        <f aca="false">IF(AssignmentTable[[#This Row],[_Valid]]=1,AssignmentTable[[#This Row],[Work]]*N(INDEX(tsk_LeafProgress,AssignmentTable[[#This Row],[_TaskPos]])),0)</f>
        <v>0</v>
      </c>
      <c r="R11" s="41" t="n">
        <f aca="false">IF(NOT(AssignmentTable[[#This Row],[_Valid]]=1),0,IF(N(INDEX(tsk_LeafTotalCost,AssignmentTable[[#This Row],[_TaskPos]]))=0,0,N(INDEX(tsk_LeafAC,AssignmentTable[[#This Row],[_TaskPos]]))*AssignmentTable[[#This Row],[Cost]]/INDEX(tsk_LeafTotalCost,AssignmentTable[[#This Row],[_TaskPos]])))</f>
        <v>0</v>
      </c>
      <c r="S11" s="41" t="n">
        <f aca="false">IF(NOT(AssignmentTable[[#This Row],[_Valid]]=1),0,IF(N(INDEX(tsk_LateKey,AssignmentTable[[#This Row],[_TaskPos]]))&gt;0,1,0))</f>
        <v>0</v>
      </c>
      <c r="T11" s="41" t="n">
        <f aca="false">IF(NOT(AssignmentTable[[#This Row],[_Valid]]=1),0,IF(INDEX(tsk_Critical,AssignmentTable[[#This Row],[_TaskPos]])="Yes",1,0))</f>
        <v>0</v>
      </c>
      <c r="U1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29"/>
      <c r="C12" s="24" t="str">
        <f aca="false">IF(AssignmentTable[[#This Row],[_TaskPos]]&lt;=0,"",INDEX(tsk_Name,AssignmentTable[[#This Row],[_TaskPos]])&amp;"")</f>
        <v/>
      </c>
      <c r="D12" s="30"/>
      <c r="E12" s="80"/>
      <c r="F12" s="96" t="n">
        <f aca="false">IF(AssignmentTable[[#This Row],[_Valid]]=1,N(INDEX(tsk_Duration,AssignmentTable[[#This Row],[_TaskPos]]))*HoursPerDay*IF(AssignmentTable[[#This Row],[Units]]="",DefaultUnits,AssignmentTable[[#This Row],[Units]]),0)</f>
        <v>0</v>
      </c>
      <c r="G12" s="97" t="n">
        <f aca="false">IF(AssignmentTable[[#This Row],[Work]]=0,0,AssignmentTable[[#This Row],[Work]]*IFERROR(INDEX(res_Rate,MATCH(AssignmentTable[[#This Row],[Resource]],res_Name,0)),0))</f>
        <v>0</v>
      </c>
      <c r="H1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41" t="n">
        <f aca="false">IF(N(AssignmentTable[[#This Row],[Task UID]])=0,0,IFERROR(MATCH(AssignmentTable[[#This Row],[Task UID]],tsk_UID,0),-1))</f>
        <v>0</v>
      </c>
      <c r="J12" s="41" t="n">
        <f aca="false">IF(AND(AssignmentTable[[#This Row],[_TaskPos]]&gt;0,AssignmentTable[[#This Row],[Resource]]&lt;&gt;"",AssignmentTable[[#This Row],[Check]]=""),1,0)</f>
        <v>0</v>
      </c>
      <c r="K12" s="41" t="str">
        <f aca="false">IF(AssignmentTable[[#This Row],[_Valid]]=1,AssignmentTable[[#This Row],[Task UID]]*1000+COUNTIFS(AssignmentTable[[#Headers],[Task UID]]:AssignmentTable[[#This Row],[Task UID]],AssignmentTable[[#This Row],[Task UID]],AssignmentTable[[#Headers],[_Valid]]:AssignmentTable[[#This Row],[_Valid]],1),"")</f>
        <v/>
      </c>
      <c r="L12" s="41" t="str">
        <f aca="false">IF(AssignmentTable[[#This Row],[_Valid]]=1,AssignmentTable[[#This Row],[Resource]]&amp;IF(OR(AssignmentTable[[#This Row],[Units]]="",AssignmentTable[[#This Row],[Units]]=1),"","["&amp;ROUND(AssignmentTable[[#This Row],[Units]]*100,0)&amp;"%]"),"")</f>
        <v/>
      </c>
      <c r="M12" s="41" t="n">
        <f aca="false">IF(AssignmentTable[[#This Row],[_Valid]]=1,N(INDEX(tsk_StartWD,AssignmentTable[[#This Row],[_TaskPos]])),0)</f>
        <v>0</v>
      </c>
      <c r="N12" s="41" t="n">
        <f aca="false">IF(AssignmentTable[[#This Row],[_Valid]]=1,N(INDEX(tsk_FinishWD,AssignmentTable[[#This Row],[_TaskPos]])),0)</f>
        <v>0</v>
      </c>
      <c r="O12" s="41" t="n">
        <f aca="false">IF(OR(AssignmentTable[[#This Row],[Work]]=0,AssignmentTable[[#This Row],[_FinishWD]]=0),0,AssignmentTable[[#This Row],[Work]]/(AssignmentTable[[#This Row],[_FinishWD]]-AssignmentTable[[#This Row],[_StartWD]]+1))</f>
        <v>0</v>
      </c>
      <c r="P12" s="41" t="n">
        <f aca="false">AssignmentTable[[#This Row],[_WorkPerWD]]*MAX(0,AssignmentTable[[#This Row],[_StartWD]]-1)</f>
        <v>0</v>
      </c>
      <c r="Q12" s="41" t="n">
        <f aca="false">IF(AssignmentTable[[#This Row],[_Valid]]=1,AssignmentTable[[#This Row],[Work]]*N(INDEX(tsk_LeafProgress,AssignmentTable[[#This Row],[_TaskPos]])),0)</f>
        <v>0</v>
      </c>
      <c r="R12" s="41" t="n">
        <f aca="false">IF(NOT(AssignmentTable[[#This Row],[_Valid]]=1),0,IF(N(INDEX(tsk_LeafTotalCost,AssignmentTable[[#This Row],[_TaskPos]]))=0,0,N(INDEX(tsk_LeafAC,AssignmentTable[[#This Row],[_TaskPos]]))*AssignmentTable[[#This Row],[Cost]]/INDEX(tsk_LeafTotalCost,AssignmentTable[[#This Row],[_TaskPos]])))</f>
        <v>0</v>
      </c>
      <c r="S12" s="41" t="n">
        <f aca="false">IF(NOT(AssignmentTable[[#This Row],[_Valid]]=1),0,IF(N(INDEX(tsk_LateKey,AssignmentTable[[#This Row],[_TaskPos]]))&gt;0,1,0))</f>
        <v>0</v>
      </c>
      <c r="T12" s="41" t="n">
        <f aca="false">IF(NOT(AssignmentTable[[#This Row],[_Valid]]=1),0,IF(INDEX(tsk_Critical,AssignmentTable[[#This Row],[_TaskPos]])="Yes",1,0))</f>
        <v>0</v>
      </c>
      <c r="U1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29"/>
      <c r="C13" s="24" t="str">
        <f aca="false">IF(AssignmentTable[[#This Row],[_TaskPos]]&lt;=0,"",INDEX(tsk_Name,AssignmentTable[[#This Row],[_TaskPos]])&amp;"")</f>
        <v/>
      </c>
      <c r="D13" s="30"/>
      <c r="E13" s="80"/>
      <c r="F13" s="96" t="n">
        <f aca="false">IF(AssignmentTable[[#This Row],[_Valid]]=1,N(INDEX(tsk_Duration,AssignmentTable[[#This Row],[_TaskPos]]))*HoursPerDay*IF(AssignmentTable[[#This Row],[Units]]="",DefaultUnits,AssignmentTable[[#This Row],[Units]]),0)</f>
        <v>0</v>
      </c>
      <c r="G13" s="97" t="n">
        <f aca="false">IF(AssignmentTable[[#This Row],[Work]]=0,0,AssignmentTable[[#This Row],[Work]]*IFERROR(INDEX(res_Rate,MATCH(AssignmentTable[[#This Row],[Resource]],res_Name,0)),0))</f>
        <v>0</v>
      </c>
      <c r="H1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41" t="n">
        <f aca="false">IF(N(AssignmentTable[[#This Row],[Task UID]])=0,0,IFERROR(MATCH(AssignmentTable[[#This Row],[Task UID]],tsk_UID,0),-1))</f>
        <v>0</v>
      </c>
      <c r="J13" s="41" t="n">
        <f aca="false">IF(AND(AssignmentTable[[#This Row],[_TaskPos]]&gt;0,AssignmentTable[[#This Row],[Resource]]&lt;&gt;"",AssignmentTable[[#This Row],[Check]]=""),1,0)</f>
        <v>0</v>
      </c>
      <c r="K13" s="41" t="str">
        <f aca="false">IF(AssignmentTable[[#This Row],[_Valid]]=1,AssignmentTable[[#This Row],[Task UID]]*1000+COUNTIFS(AssignmentTable[[#Headers],[Task UID]]:AssignmentTable[[#This Row],[Task UID]],AssignmentTable[[#This Row],[Task UID]],AssignmentTable[[#Headers],[_Valid]]:AssignmentTable[[#This Row],[_Valid]],1),"")</f>
        <v/>
      </c>
      <c r="L13" s="41" t="str">
        <f aca="false">IF(AssignmentTable[[#This Row],[_Valid]]=1,AssignmentTable[[#This Row],[Resource]]&amp;IF(OR(AssignmentTable[[#This Row],[Units]]="",AssignmentTable[[#This Row],[Units]]=1),"","["&amp;ROUND(AssignmentTable[[#This Row],[Units]]*100,0)&amp;"%]"),"")</f>
        <v/>
      </c>
      <c r="M13" s="41" t="n">
        <f aca="false">IF(AssignmentTable[[#This Row],[_Valid]]=1,N(INDEX(tsk_StartWD,AssignmentTable[[#This Row],[_TaskPos]])),0)</f>
        <v>0</v>
      </c>
      <c r="N13" s="41" t="n">
        <f aca="false">IF(AssignmentTable[[#This Row],[_Valid]]=1,N(INDEX(tsk_FinishWD,AssignmentTable[[#This Row],[_TaskPos]])),0)</f>
        <v>0</v>
      </c>
      <c r="O13" s="41" t="n">
        <f aca="false">IF(OR(AssignmentTable[[#This Row],[Work]]=0,AssignmentTable[[#This Row],[_FinishWD]]=0),0,AssignmentTable[[#This Row],[Work]]/(AssignmentTable[[#This Row],[_FinishWD]]-AssignmentTable[[#This Row],[_StartWD]]+1))</f>
        <v>0</v>
      </c>
      <c r="P13" s="41" t="n">
        <f aca="false">AssignmentTable[[#This Row],[_WorkPerWD]]*MAX(0,AssignmentTable[[#This Row],[_StartWD]]-1)</f>
        <v>0</v>
      </c>
      <c r="Q13" s="41" t="n">
        <f aca="false">IF(AssignmentTable[[#This Row],[_Valid]]=1,AssignmentTable[[#This Row],[Work]]*N(INDEX(tsk_LeafProgress,AssignmentTable[[#This Row],[_TaskPos]])),0)</f>
        <v>0</v>
      </c>
      <c r="R13" s="41" t="n">
        <f aca="false">IF(NOT(AssignmentTable[[#This Row],[_Valid]]=1),0,IF(N(INDEX(tsk_LeafTotalCost,AssignmentTable[[#This Row],[_TaskPos]]))=0,0,N(INDEX(tsk_LeafAC,AssignmentTable[[#This Row],[_TaskPos]]))*AssignmentTable[[#This Row],[Cost]]/INDEX(tsk_LeafTotalCost,AssignmentTable[[#This Row],[_TaskPos]])))</f>
        <v>0</v>
      </c>
      <c r="S13" s="41" t="n">
        <f aca="false">IF(NOT(AssignmentTable[[#This Row],[_Valid]]=1),0,IF(N(INDEX(tsk_LateKey,AssignmentTable[[#This Row],[_TaskPos]]))&gt;0,1,0))</f>
        <v>0</v>
      </c>
      <c r="T13" s="41" t="n">
        <f aca="false">IF(NOT(AssignmentTable[[#This Row],[_Valid]]=1),0,IF(INDEX(tsk_Critical,AssignmentTable[[#This Row],[_TaskPos]])="Yes",1,0))</f>
        <v>0</v>
      </c>
      <c r="U1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29"/>
      <c r="C14" s="24" t="str">
        <f aca="false">IF(AssignmentTable[[#This Row],[_TaskPos]]&lt;=0,"",INDEX(tsk_Name,AssignmentTable[[#This Row],[_TaskPos]])&amp;"")</f>
        <v/>
      </c>
      <c r="D14" s="30"/>
      <c r="E14" s="80"/>
      <c r="F14" s="96" t="n">
        <f aca="false">IF(AssignmentTable[[#This Row],[_Valid]]=1,N(INDEX(tsk_Duration,AssignmentTable[[#This Row],[_TaskPos]]))*HoursPerDay*IF(AssignmentTable[[#This Row],[Units]]="",DefaultUnits,AssignmentTable[[#This Row],[Units]]),0)</f>
        <v>0</v>
      </c>
      <c r="G14" s="97" t="n">
        <f aca="false">IF(AssignmentTable[[#This Row],[Work]]=0,0,AssignmentTable[[#This Row],[Work]]*IFERROR(INDEX(res_Rate,MATCH(AssignmentTable[[#This Row],[Resource]],res_Name,0)),0))</f>
        <v>0</v>
      </c>
      <c r="H1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41" t="n">
        <f aca="false">IF(N(AssignmentTable[[#This Row],[Task UID]])=0,0,IFERROR(MATCH(AssignmentTable[[#This Row],[Task UID]],tsk_UID,0),-1))</f>
        <v>0</v>
      </c>
      <c r="J14" s="41" t="n">
        <f aca="false">IF(AND(AssignmentTable[[#This Row],[_TaskPos]]&gt;0,AssignmentTable[[#This Row],[Resource]]&lt;&gt;"",AssignmentTable[[#This Row],[Check]]=""),1,0)</f>
        <v>0</v>
      </c>
      <c r="K14" s="41" t="str">
        <f aca="false">IF(AssignmentTable[[#This Row],[_Valid]]=1,AssignmentTable[[#This Row],[Task UID]]*1000+COUNTIFS(AssignmentTable[[#Headers],[Task UID]]:AssignmentTable[[#This Row],[Task UID]],AssignmentTable[[#This Row],[Task UID]],AssignmentTable[[#Headers],[_Valid]]:AssignmentTable[[#This Row],[_Valid]],1),"")</f>
        <v/>
      </c>
      <c r="L14" s="41" t="str">
        <f aca="false">IF(AssignmentTable[[#This Row],[_Valid]]=1,AssignmentTable[[#This Row],[Resource]]&amp;IF(OR(AssignmentTable[[#This Row],[Units]]="",AssignmentTable[[#This Row],[Units]]=1),"","["&amp;ROUND(AssignmentTable[[#This Row],[Units]]*100,0)&amp;"%]"),"")</f>
        <v/>
      </c>
      <c r="M14" s="41" t="n">
        <f aca="false">IF(AssignmentTable[[#This Row],[_Valid]]=1,N(INDEX(tsk_StartWD,AssignmentTable[[#This Row],[_TaskPos]])),0)</f>
        <v>0</v>
      </c>
      <c r="N14" s="41" t="n">
        <f aca="false">IF(AssignmentTable[[#This Row],[_Valid]]=1,N(INDEX(tsk_FinishWD,AssignmentTable[[#This Row],[_TaskPos]])),0)</f>
        <v>0</v>
      </c>
      <c r="O14" s="41" t="n">
        <f aca="false">IF(OR(AssignmentTable[[#This Row],[Work]]=0,AssignmentTable[[#This Row],[_FinishWD]]=0),0,AssignmentTable[[#This Row],[Work]]/(AssignmentTable[[#This Row],[_FinishWD]]-AssignmentTable[[#This Row],[_StartWD]]+1))</f>
        <v>0</v>
      </c>
      <c r="P14" s="41" t="n">
        <f aca="false">AssignmentTable[[#This Row],[_WorkPerWD]]*MAX(0,AssignmentTable[[#This Row],[_StartWD]]-1)</f>
        <v>0</v>
      </c>
      <c r="Q14" s="41" t="n">
        <f aca="false">IF(AssignmentTable[[#This Row],[_Valid]]=1,AssignmentTable[[#This Row],[Work]]*N(INDEX(tsk_LeafProgress,AssignmentTable[[#This Row],[_TaskPos]])),0)</f>
        <v>0</v>
      </c>
      <c r="R14" s="41" t="n">
        <f aca="false">IF(NOT(AssignmentTable[[#This Row],[_Valid]]=1),0,IF(N(INDEX(tsk_LeafTotalCost,AssignmentTable[[#This Row],[_TaskPos]]))=0,0,N(INDEX(tsk_LeafAC,AssignmentTable[[#This Row],[_TaskPos]]))*AssignmentTable[[#This Row],[Cost]]/INDEX(tsk_LeafTotalCost,AssignmentTable[[#This Row],[_TaskPos]])))</f>
        <v>0</v>
      </c>
      <c r="S14" s="41" t="n">
        <f aca="false">IF(NOT(AssignmentTable[[#This Row],[_Valid]]=1),0,IF(N(INDEX(tsk_LateKey,AssignmentTable[[#This Row],[_TaskPos]]))&gt;0,1,0))</f>
        <v>0</v>
      </c>
      <c r="T14" s="41" t="n">
        <f aca="false">IF(NOT(AssignmentTable[[#This Row],[_Valid]]=1),0,IF(INDEX(tsk_Critical,AssignmentTable[[#This Row],[_TaskPos]])="Yes",1,0))</f>
        <v>0</v>
      </c>
      <c r="U1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29"/>
      <c r="C15" s="24" t="str">
        <f aca="false">IF(AssignmentTable[[#This Row],[_TaskPos]]&lt;=0,"",INDEX(tsk_Name,AssignmentTable[[#This Row],[_TaskPos]])&amp;"")</f>
        <v/>
      </c>
      <c r="D15" s="30"/>
      <c r="E15" s="80"/>
      <c r="F15" s="96" t="n">
        <f aca="false">IF(AssignmentTable[[#This Row],[_Valid]]=1,N(INDEX(tsk_Duration,AssignmentTable[[#This Row],[_TaskPos]]))*HoursPerDay*IF(AssignmentTable[[#This Row],[Units]]="",DefaultUnits,AssignmentTable[[#This Row],[Units]]),0)</f>
        <v>0</v>
      </c>
      <c r="G15" s="97" t="n">
        <f aca="false">IF(AssignmentTable[[#This Row],[Work]]=0,0,AssignmentTable[[#This Row],[Work]]*IFERROR(INDEX(res_Rate,MATCH(AssignmentTable[[#This Row],[Resource]],res_Name,0)),0))</f>
        <v>0</v>
      </c>
      <c r="H1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41" t="n">
        <f aca="false">IF(N(AssignmentTable[[#This Row],[Task UID]])=0,0,IFERROR(MATCH(AssignmentTable[[#This Row],[Task UID]],tsk_UID,0),-1))</f>
        <v>0</v>
      </c>
      <c r="J15" s="41" t="n">
        <f aca="false">IF(AND(AssignmentTable[[#This Row],[_TaskPos]]&gt;0,AssignmentTable[[#This Row],[Resource]]&lt;&gt;"",AssignmentTable[[#This Row],[Check]]=""),1,0)</f>
        <v>0</v>
      </c>
      <c r="K15" s="41" t="str">
        <f aca="false">IF(AssignmentTable[[#This Row],[_Valid]]=1,AssignmentTable[[#This Row],[Task UID]]*1000+COUNTIFS(AssignmentTable[[#Headers],[Task UID]]:AssignmentTable[[#This Row],[Task UID]],AssignmentTable[[#This Row],[Task UID]],AssignmentTable[[#Headers],[_Valid]]:AssignmentTable[[#This Row],[_Valid]],1),"")</f>
        <v/>
      </c>
      <c r="L15" s="41" t="str">
        <f aca="false">IF(AssignmentTable[[#This Row],[_Valid]]=1,AssignmentTable[[#This Row],[Resource]]&amp;IF(OR(AssignmentTable[[#This Row],[Units]]="",AssignmentTable[[#This Row],[Units]]=1),"","["&amp;ROUND(AssignmentTable[[#This Row],[Units]]*100,0)&amp;"%]"),"")</f>
        <v/>
      </c>
      <c r="M15" s="41" t="n">
        <f aca="false">IF(AssignmentTable[[#This Row],[_Valid]]=1,N(INDEX(tsk_StartWD,AssignmentTable[[#This Row],[_TaskPos]])),0)</f>
        <v>0</v>
      </c>
      <c r="N15" s="41" t="n">
        <f aca="false">IF(AssignmentTable[[#This Row],[_Valid]]=1,N(INDEX(tsk_FinishWD,AssignmentTable[[#This Row],[_TaskPos]])),0)</f>
        <v>0</v>
      </c>
      <c r="O15" s="41" t="n">
        <f aca="false">IF(OR(AssignmentTable[[#This Row],[Work]]=0,AssignmentTable[[#This Row],[_FinishWD]]=0),0,AssignmentTable[[#This Row],[Work]]/(AssignmentTable[[#This Row],[_FinishWD]]-AssignmentTable[[#This Row],[_StartWD]]+1))</f>
        <v>0</v>
      </c>
      <c r="P15" s="41" t="n">
        <f aca="false">AssignmentTable[[#This Row],[_WorkPerWD]]*MAX(0,AssignmentTable[[#This Row],[_StartWD]]-1)</f>
        <v>0</v>
      </c>
      <c r="Q15" s="41" t="n">
        <f aca="false">IF(AssignmentTable[[#This Row],[_Valid]]=1,AssignmentTable[[#This Row],[Work]]*N(INDEX(tsk_LeafProgress,AssignmentTable[[#This Row],[_TaskPos]])),0)</f>
        <v>0</v>
      </c>
      <c r="R15" s="41" t="n">
        <f aca="false">IF(NOT(AssignmentTable[[#This Row],[_Valid]]=1),0,IF(N(INDEX(tsk_LeafTotalCost,AssignmentTable[[#This Row],[_TaskPos]]))=0,0,N(INDEX(tsk_LeafAC,AssignmentTable[[#This Row],[_TaskPos]]))*AssignmentTable[[#This Row],[Cost]]/INDEX(tsk_LeafTotalCost,AssignmentTable[[#This Row],[_TaskPos]])))</f>
        <v>0</v>
      </c>
      <c r="S15" s="41" t="n">
        <f aca="false">IF(NOT(AssignmentTable[[#This Row],[_Valid]]=1),0,IF(N(INDEX(tsk_LateKey,AssignmentTable[[#This Row],[_TaskPos]]))&gt;0,1,0))</f>
        <v>0</v>
      </c>
      <c r="T15" s="41" t="n">
        <f aca="false">IF(NOT(AssignmentTable[[#This Row],[_Valid]]=1),0,IF(INDEX(tsk_Critical,AssignmentTable[[#This Row],[_TaskPos]])="Yes",1,0))</f>
        <v>0</v>
      </c>
      <c r="U1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29"/>
      <c r="C16" s="24" t="str">
        <f aca="false">IF(AssignmentTable[[#This Row],[_TaskPos]]&lt;=0,"",INDEX(tsk_Name,AssignmentTable[[#This Row],[_TaskPos]])&amp;"")</f>
        <v/>
      </c>
      <c r="D16" s="30"/>
      <c r="E16" s="80"/>
      <c r="F16" s="96" t="n">
        <f aca="false">IF(AssignmentTable[[#This Row],[_Valid]]=1,N(INDEX(tsk_Duration,AssignmentTable[[#This Row],[_TaskPos]]))*HoursPerDay*IF(AssignmentTable[[#This Row],[Units]]="",DefaultUnits,AssignmentTable[[#This Row],[Units]]),0)</f>
        <v>0</v>
      </c>
      <c r="G16" s="97" t="n">
        <f aca="false">IF(AssignmentTable[[#This Row],[Work]]=0,0,AssignmentTable[[#This Row],[Work]]*IFERROR(INDEX(res_Rate,MATCH(AssignmentTable[[#This Row],[Resource]],res_Name,0)),0))</f>
        <v>0</v>
      </c>
      <c r="H1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41" t="n">
        <f aca="false">IF(N(AssignmentTable[[#This Row],[Task UID]])=0,0,IFERROR(MATCH(AssignmentTable[[#This Row],[Task UID]],tsk_UID,0),-1))</f>
        <v>0</v>
      </c>
      <c r="J16" s="41" t="n">
        <f aca="false">IF(AND(AssignmentTable[[#This Row],[_TaskPos]]&gt;0,AssignmentTable[[#This Row],[Resource]]&lt;&gt;"",AssignmentTable[[#This Row],[Check]]=""),1,0)</f>
        <v>0</v>
      </c>
      <c r="K16" s="41" t="str">
        <f aca="false">IF(AssignmentTable[[#This Row],[_Valid]]=1,AssignmentTable[[#This Row],[Task UID]]*1000+COUNTIFS(AssignmentTable[[#Headers],[Task UID]]:AssignmentTable[[#This Row],[Task UID]],AssignmentTable[[#This Row],[Task UID]],AssignmentTable[[#Headers],[_Valid]]:AssignmentTable[[#This Row],[_Valid]],1),"")</f>
        <v/>
      </c>
      <c r="L16" s="41" t="str">
        <f aca="false">IF(AssignmentTable[[#This Row],[_Valid]]=1,AssignmentTable[[#This Row],[Resource]]&amp;IF(OR(AssignmentTable[[#This Row],[Units]]="",AssignmentTable[[#This Row],[Units]]=1),"","["&amp;ROUND(AssignmentTable[[#This Row],[Units]]*100,0)&amp;"%]"),"")</f>
        <v/>
      </c>
      <c r="M16" s="41" t="n">
        <f aca="false">IF(AssignmentTable[[#This Row],[_Valid]]=1,N(INDEX(tsk_StartWD,AssignmentTable[[#This Row],[_TaskPos]])),0)</f>
        <v>0</v>
      </c>
      <c r="N16" s="41" t="n">
        <f aca="false">IF(AssignmentTable[[#This Row],[_Valid]]=1,N(INDEX(tsk_FinishWD,AssignmentTable[[#This Row],[_TaskPos]])),0)</f>
        <v>0</v>
      </c>
      <c r="O16" s="41" t="n">
        <f aca="false">IF(OR(AssignmentTable[[#This Row],[Work]]=0,AssignmentTable[[#This Row],[_FinishWD]]=0),0,AssignmentTable[[#This Row],[Work]]/(AssignmentTable[[#This Row],[_FinishWD]]-AssignmentTable[[#This Row],[_StartWD]]+1))</f>
        <v>0</v>
      </c>
      <c r="P16" s="41" t="n">
        <f aca="false">AssignmentTable[[#This Row],[_WorkPerWD]]*MAX(0,AssignmentTable[[#This Row],[_StartWD]]-1)</f>
        <v>0</v>
      </c>
      <c r="Q16" s="41" t="n">
        <f aca="false">IF(AssignmentTable[[#This Row],[_Valid]]=1,AssignmentTable[[#This Row],[Work]]*N(INDEX(tsk_LeafProgress,AssignmentTable[[#This Row],[_TaskPos]])),0)</f>
        <v>0</v>
      </c>
      <c r="R16" s="41" t="n">
        <f aca="false">IF(NOT(AssignmentTable[[#This Row],[_Valid]]=1),0,IF(N(INDEX(tsk_LeafTotalCost,AssignmentTable[[#This Row],[_TaskPos]]))=0,0,N(INDEX(tsk_LeafAC,AssignmentTable[[#This Row],[_TaskPos]]))*AssignmentTable[[#This Row],[Cost]]/INDEX(tsk_LeafTotalCost,AssignmentTable[[#This Row],[_TaskPos]])))</f>
        <v>0</v>
      </c>
      <c r="S16" s="41" t="n">
        <f aca="false">IF(NOT(AssignmentTable[[#This Row],[_Valid]]=1),0,IF(N(INDEX(tsk_LateKey,AssignmentTable[[#This Row],[_TaskPos]]))&gt;0,1,0))</f>
        <v>0</v>
      </c>
      <c r="T16" s="41" t="n">
        <f aca="false">IF(NOT(AssignmentTable[[#This Row],[_Valid]]=1),0,IF(INDEX(tsk_Critical,AssignmentTable[[#This Row],[_TaskPos]])="Yes",1,0))</f>
        <v>0</v>
      </c>
      <c r="U1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29"/>
      <c r="C17" s="24" t="str">
        <f aca="false">IF(AssignmentTable[[#This Row],[_TaskPos]]&lt;=0,"",INDEX(tsk_Name,AssignmentTable[[#This Row],[_TaskPos]])&amp;"")</f>
        <v/>
      </c>
      <c r="D17" s="30"/>
      <c r="E17" s="80"/>
      <c r="F17" s="96" t="n">
        <f aca="false">IF(AssignmentTable[[#This Row],[_Valid]]=1,N(INDEX(tsk_Duration,AssignmentTable[[#This Row],[_TaskPos]]))*HoursPerDay*IF(AssignmentTable[[#This Row],[Units]]="",DefaultUnits,AssignmentTable[[#This Row],[Units]]),0)</f>
        <v>0</v>
      </c>
      <c r="G17" s="97" t="n">
        <f aca="false">IF(AssignmentTable[[#This Row],[Work]]=0,0,AssignmentTable[[#This Row],[Work]]*IFERROR(INDEX(res_Rate,MATCH(AssignmentTable[[#This Row],[Resource]],res_Name,0)),0))</f>
        <v>0</v>
      </c>
      <c r="H1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41" t="n">
        <f aca="false">IF(N(AssignmentTable[[#This Row],[Task UID]])=0,0,IFERROR(MATCH(AssignmentTable[[#This Row],[Task UID]],tsk_UID,0),-1))</f>
        <v>0</v>
      </c>
      <c r="J17" s="41" t="n">
        <f aca="false">IF(AND(AssignmentTable[[#This Row],[_TaskPos]]&gt;0,AssignmentTable[[#This Row],[Resource]]&lt;&gt;"",AssignmentTable[[#This Row],[Check]]=""),1,0)</f>
        <v>0</v>
      </c>
      <c r="K17" s="41" t="str">
        <f aca="false">IF(AssignmentTable[[#This Row],[_Valid]]=1,AssignmentTable[[#This Row],[Task UID]]*1000+COUNTIFS(AssignmentTable[[#Headers],[Task UID]]:AssignmentTable[[#This Row],[Task UID]],AssignmentTable[[#This Row],[Task UID]],AssignmentTable[[#Headers],[_Valid]]:AssignmentTable[[#This Row],[_Valid]],1),"")</f>
        <v/>
      </c>
      <c r="L17" s="41" t="str">
        <f aca="false">IF(AssignmentTable[[#This Row],[_Valid]]=1,AssignmentTable[[#This Row],[Resource]]&amp;IF(OR(AssignmentTable[[#This Row],[Units]]="",AssignmentTable[[#This Row],[Units]]=1),"","["&amp;ROUND(AssignmentTable[[#This Row],[Units]]*100,0)&amp;"%]"),"")</f>
        <v/>
      </c>
      <c r="M17" s="41" t="n">
        <f aca="false">IF(AssignmentTable[[#This Row],[_Valid]]=1,N(INDEX(tsk_StartWD,AssignmentTable[[#This Row],[_TaskPos]])),0)</f>
        <v>0</v>
      </c>
      <c r="N17" s="41" t="n">
        <f aca="false">IF(AssignmentTable[[#This Row],[_Valid]]=1,N(INDEX(tsk_FinishWD,AssignmentTable[[#This Row],[_TaskPos]])),0)</f>
        <v>0</v>
      </c>
      <c r="O17" s="41" t="n">
        <f aca="false">IF(OR(AssignmentTable[[#This Row],[Work]]=0,AssignmentTable[[#This Row],[_FinishWD]]=0),0,AssignmentTable[[#This Row],[Work]]/(AssignmentTable[[#This Row],[_FinishWD]]-AssignmentTable[[#This Row],[_StartWD]]+1))</f>
        <v>0</v>
      </c>
      <c r="P17" s="41" t="n">
        <f aca="false">AssignmentTable[[#This Row],[_WorkPerWD]]*MAX(0,AssignmentTable[[#This Row],[_StartWD]]-1)</f>
        <v>0</v>
      </c>
      <c r="Q17" s="41" t="n">
        <f aca="false">IF(AssignmentTable[[#This Row],[_Valid]]=1,AssignmentTable[[#This Row],[Work]]*N(INDEX(tsk_LeafProgress,AssignmentTable[[#This Row],[_TaskPos]])),0)</f>
        <v>0</v>
      </c>
      <c r="R17" s="41" t="n">
        <f aca="false">IF(NOT(AssignmentTable[[#This Row],[_Valid]]=1),0,IF(N(INDEX(tsk_LeafTotalCost,AssignmentTable[[#This Row],[_TaskPos]]))=0,0,N(INDEX(tsk_LeafAC,AssignmentTable[[#This Row],[_TaskPos]]))*AssignmentTable[[#This Row],[Cost]]/INDEX(tsk_LeafTotalCost,AssignmentTable[[#This Row],[_TaskPos]])))</f>
        <v>0</v>
      </c>
      <c r="S17" s="41" t="n">
        <f aca="false">IF(NOT(AssignmentTable[[#This Row],[_Valid]]=1),0,IF(N(INDEX(tsk_LateKey,AssignmentTable[[#This Row],[_TaskPos]]))&gt;0,1,0))</f>
        <v>0</v>
      </c>
      <c r="T17" s="41" t="n">
        <f aca="false">IF(NOT(AssignmentTable[[#This Row],[_Valid]]=1),0,IF(INDEX(tsk_Critical,AssignmentTable[[#This Row],[_TaskPos]])="Yes",1,0))</f>
        <v>0</v>
      </c>
      <c r="U1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29"/>
      <c r="C18" s="24" t="str">
        <f aca="false">IF(AssignmentTable[[#This Row],[_TaskPos]]&lt;=0,"",INDEX(tsk_Name,AssignmentTable[[#This Row],[_TaskPos]])&amp;"")</f>
        <v/>
      </c>
      <c r="D18" s="30"/>
      <c r="E18" s="80"/>
      <c r="F18" s="96" t="n">
        <f aca="false">IF(AssignmentTable[[#This Row],[_Valid]]=1,N(INDEX(tsk_Duration,AssignmentTable[[#This Row],[_TaskPos]]))*HoursPerDay*IF(AssignmentTable[[#This Row],[Units]]="",DefaultUnits,AssignmentTable[[#This Row],[Units]]),0)</f>
        <v>0</v>
      </c>
      <c r="G18" s="97" t="n">
        <f aca="false">IF(AssignmentTable[[#This Row],[Work]]=0,0,AssignmentTable[[#This Row],[Work]]*IFERROR(INDEX(res_Rate,MATCH(AssignmentTable[[#This Row],[Resource]],res_Name,0)),0))</f>
        <v>0</v>
      </c>
      <c r="H1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41" t="n">
        <f aca="false">IF(N(AssignmentTable[[#This Row],[Task UID]])=0,0,IFERROR(MATCH(AssignmentTable[[#This Row],[Task UID]],tsk_UID,0),-1))</f>
        <v>0</v>
      </c>
      <c r="J18" s="41" t="n">
        <f aca="false">IF(AND(AssignmentTable[[#This Row],[_TaskPos]]&gt;0,AssignmentTable[[#This Row],[Resource]]&lt;&gt;"",AssignmentTable[[#This Row],[Check]]=""),1,0)</f>
        <v>0</v>
      </c>
      <c r="K18" s="41" t="str">
        <f aca="false">IF(AssignmentTable[[#This Row],[_Valid]]=1,AssignmentTable[[#This Row],[Task UID]]*1000+COUNTIFS(AssignmentTable[[#Headers],[Task UID]]:AssignmentTable[[#This Row],[Task UID]],AssignmentTable[[#This Row],[Task UID]],AssignmentTable[[#Headers],[_Valid]]:AssignmentTable[[#This Row],[_Valid]],1),"")</f>
        <v/>
      </c>
      <c r="L18" s="41" t="str">
        <f aca="false">IF(AssignmentTable[[#This Row],[_Valid]]=1,AssignmentTable[[#This Row],[Resource]]&amp;IF(OR(AssignmentTable[[#This Row],[Units]]="",AssignmentTable[[#This Row],[Units]]=1),"","["&amp;ROUND(AssignmentTable[[#This Row],[Units]]*100,0)&amp;"%]"),"")</f>
        <v/>
      </c>
      <c r="M18" s="41" t="n">
        <f aca="false">IF(AssignmentTable[[#This Row],[_Valid]]=1,N(INDEX(tsk_StartWD,AssignmentTable[[#This Row],[_TaskPos]])),0)</f>
        <v>0</v>
      </c>
      <c r="N18" s="41" t="n">
        <f aca="false">IF(AssignmentTable[[#This Row],[_Valid]]=1,N(INDEX(tsk_FinishWD,AssignmentTable[[#This Row],[_TaskPos]])),0)</f>
        <v>0</v>
      </c>
      <c r="O18" s="41" t="n">
        <f aca="false">IF(OR(AssignmentTable[[#This Row],[Work]]=0,AssignmentTable[[#This Row],[_FinishWD]]=0),0,AssignmentTable[[#This Row],[Work]]/(AssignmentTable[[#This Row],[_FinishWD]]-AssignmentTable[[#This Row],[_StartWD]]+1))</f>
        <v>0</v>
      </c>
      <c r="P18" s="41" t="n">
        <f aca="false">AssignmentTable[[#This Row],[_WorkPerWD]]*MAX(0,AssignmentTable[[#This Row],[_StartWD]]-1)</f>
        <v>0</v>
      </c>
      <c r="Q18" s="41" t="n">
        <f aca="false">IF(AssignmentTable[[#This Row],[_Valid]]=1,AssignmentTable[[#This Row],[Work]]*N(INDEX(tsk_LeafProgress,AssignmentTable[[#This Row],[_TaskPos]])),0)</f>
        <v>0</v>
      </c>
      <c r="R18" s="41" t="n">
        <f aca="false">IF(NOT(AssignmentTable[[#This Row],[_Valid]]=1),0,IF(N(INDEX(tsk_LeafTotalCost,AssignmentTable[[#This Row],[_TaskPos]]))=0,0,N(INDEX(tsk_LeafAC,AssignmentTable[[#This Row],[_TaskPos]]))*AssignmentTable[[#This Row],[Cost]]/INDEX(tsk_LeafTotalCost,AssignmentTable[[#This Row],[_TaskPos]])))</f>
        <v>0</v>
      </c>
      <c r="S18" s="41" t="n">
        <f aca="false">IF(NOT(AssignmentTable[[#This Row],[_Valid]]=1),0,IF(N(INDEX(tsk_LateKey,AssignmentTable[[#This Row],[_TaskPos]]))&gt;0,1,0))</f>
        <v>0</v>
      </c>
      <c r="T18" s="41" t="n">
        <f aca="false">IF(NOT(AssignmentTable[[#This Row],[_Valid]]=1),0,IF(INDEX(tsk_Critical,AssignmentTable[[#This Row],[_TaskPos]])="Yes",1,0))</f>
        <v>0</v>
      </c>
      <c r="U1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29"/>
      <c r="C19" s="24" t="str">
        <f aca="false">IF(AssignmentTable[[#This Row],[_TaskPos]]&lt;=0,"",INDEX(tsk_Name,AssignmentTable[[#This Row],[_TaskPos]])&amp;"")</f>
        <v/>
      </c>
      <c r="D19" s="30"/>
      <c r="E19" s="80"/>
      <c r="F19" s="96" t="n">
        <f aca="false">IF(AssignmentTable[[#This Row],[_Valid]]=1,N(INDEX(tsk_Duration,AssignmentTable[[#This Row],[_TaskPos]]))*HoursPerDay*IF(AssignmentTable[[#This Row],[Units]]="",DefaultUnits,AssignmentTable[[#This Row],[Units]]),0)</f>
        <v>0</v>
      </c>
      <c r="G19" s="97" t="n">
        <f aca="false">IF(AssignmentTable[[#This Row],[Work]]=0,0,AssignmentTable[[#This Row],[Work]]*IFERROR(INDEX(res_Rate,MATCH(AssignmentTable[[#This Row],[Resource]],res_Name,0)),0))</f>
        <v>0</v>
      </c>
      <c r="H1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41" t="n">
        <f aca="false">IF(N(AssignmentTable[[#This Row],[Task UID]])=0,0,IFERROR(MATCH(AssignmentTable[[#This Row],[Task UID]],tsk_UID,0),-1))</f>
        <v>0</v>
      </c>
      <c r="J19" s="41" t="n">
        <f aca="false">IF(AND(AssignmentTable[[#This Row],[_TaskPos]]&gt;0,AssignmentTable[[#This Row],[Resource]]&lt;&gt;"",AssignmentTable[[#This Row],[Check]]=""),1,0)</f>
        <v>0</v>
      </c>
      <c r="K19" s="41" t="str">
        <f aca="false">IF(AssignmentTable[[#This Row],[_Valid]]=1,AssignmentTable[[#This Row],[Task UID]]*1000+COUNTIFS(AssignmentTable[[#Headers],[Task UID]]:AssignmentTable[[#This Row],[Task UID]],AssignmentTable[[#This Row],[Task UID]],AssignmentTable[[#Headers],[_Valid]]:AssignmentTable[[#This Row],[_Valid]],1),"")</f>
        <v/>
      </c>
      <c r="L19" s="41" t="str">
        <f aca="false">IF(AssignmentTable[[#This Row],[_Valid]]=1,AssignmentTable[[#This Row],[Resource]]&amp;IF(OR(AssignmentTable[[#This Row],[Units]]="",AssignmentTable[[#This Row],[Units]]=1),"","["&amp;ROUND(AssignmentTable[[#This Row],[Units]]*100,0)&amp;"%]"),"")</f>
        <v/>
      </c>
      <c r="M19" s="41" t="n">
        <f aca="false">IF(AssignmentTable[[#This Row],[_Valid]]=1,N(INDEX(tsk_StartWD,AssignmentTable[[#This Row],[_TaskPos]])),0)</f>
        <v>0</v>
      </c>
      <c r="N19" s="41" t="n">
        <f aca="false">IF(AssignmentTable[[#This Row],[_Valid]]=1,N(INDEX(tsk_FinishWD,AssignmentTable[[#This Row],[_TaskPos]])),0)</f>
        <v>0</v>
      </c>
      <c r="O19" s="41" t="n">
        <f aca="false">IF(OR(AssignmentTable[[#This Row],[Work]]=0,AssignmentTable[[#This Row],[_FinishWD]]=0),0,AssignmentTable[[#This Row],[Work]]/(AssignmentTable[[#This Row],[_FinishWD]]-AssignmentTable[[#This Row],[_StartWD]]+1))</f>
        <v>0</v>
      </c>
      <c r="P19" s="41" t="n">
        <f aca="false">AssignmentTable[[#This Row],[_WorkPerWD]]*MAX(0,AssignmentTable[[#This Row],[_StartWD]]-1)</f>
        <v>0</v>
      </c>
      <c r="Q19" s="41" t="n">
        <f aca="false">IF(AssignmentTable[[#This Row],[_Valid]]=1,AssignmentTable[[#This Row],[Work]]*N(INDEX(tsk_LeafProgress,AssignmentTable[[#This Row],[_TaskPos]])),0)</f>
        <v>0</v>
      </c>
      <c r="R19" s="41" t="n">
        <f aca="false">IF(NOT(AssignmentTable[[#This Row],[_Valid]]=1),0,IF(N(INDEX(tsk_LeafTotalCost,AssignmentTable[[#This Row],[_TaskPos]]))=0,0,N(INDEX(tsk_LeafAC,AssignmentTable[[#This Row],[_TaskPos]]))*AssignmentTable[[#This Row],[Cost]]/INDEX(tsk_LeafTotalCost,AssignmentTable[[#This Row],[_TaskPos]])))</f>
        <v>0</v>
      </c>
      <c r="S19" s="41" t="n">
        <f aca="false">IF(NOT(AssignmentTable[[#This Row],[_Valid]]=1),0,IF(N(INDEX(tsk_LateKey,AssignmentTable[[#This Row],[_TaskPos]]))&gt;0,1,0))</f>
        <v>0</v>
      </c>
      <c r="T19" s="41" t="n">
        <f aca="false">IF(NOT(AssignmentTable[[#This Row],[_Valid]]=1),0,IF(INDEX(tsk_Critical,AssignmentTable[[#This Row],[_TaskPos]])="Yes",1,0))</f>
        <v>0</v>
      </c>
      <c r="U1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29"/>
      <c r="C20" s="24" t="str">
        <f aca="false">IF(AssignmentTable[[#This Row],[_TaskPos]]&lt;=0,"",INDEX(tsk_Name,AssignmentTable[[#This Row],[_TaskPos]])&amp;"")</f>
        <v/>
      </c>
      <c r="D20" s="30"/>
      <c r="E20" s="80"/>
      <c r="F20" s="96" t="n">
        <f aca="false">IF(AssignmentTable[[#This Row],[_Valid]]=1,N(INDEX(tsk_Duration,AssignmentTable[[#This Row],[_TaskPos]]))*HoursPerDay*IF(AssignmentTable[[#This Row],[Units]]="",DefaultUnits,AssignmentTable[[#This Row],[Units]]),0)</f>
        <v>0</v>
      </c>
      <c r="G20" s="97" t="n">
        <f aca="false">IF(AssignmentTable[[#This Row],[Work]]=0,0,AssignmentTable[[#This Row],[Work]]*IFERROR(INDEX(res_Rate,MATCH(AssignmentTable[[#This Row],[Resource]],res_Name,0)),0))</f>
        <v>0</v>
      </c>
      <c r="H2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41" t="n">
        <f aca="false">IF(N(AssignmentTable[[#This Row],[Task UID]])=0,0,IFERROR(MATCH(AssignmentTable[[#This Row],[Task UID]],tsk_UID,0),-1))</f>
        <v>0</v>
      </c>
      <c r="J20" s="41" t="n">
        <f aca="false">IF(AND(AssignmentTable[[#This Row],[_TaskPos]]&gt;0,AssignmentTable[[#This Row],[Resource]]&lt;&gt;"",AssignmentTable[[#This Row],[Check]]=""),1,0)</f>
        <v>0</v>
      </c>
      <c r="K20" s="41" t="str">
        <f aca="false">IF(AssignmentTable[[#This Row],[_Valid]]=1,AssignmentTable[[#This Row],[Task UID]]*1000+COUNTIFS(AssignmentTable[[#Headers],[Task UID]]:AssignmentTable[[#This Row],[Task UID]],AssignmentTable[[#This Row],[Task UID]],AssignmentTable[[#Headers],[_Valid]]:AssignmentTable[[#This Row],[_Valid]],1),"")</f>
        <v/>
      </c>
      <c r="L20" s="41" t="str">
        <f aca="false">IF(AssignmentTable[[#This Row],[_Valid]]=1,AssignmentTable[[#This Row],[Resource]]&amp;IF(OR(AssignmentTable[[#This Row],[Units]]="",AssignmentTable[[#This Row],[Units]]=1),"","["&amp;ROUND(AssignmentTable[[#This Row],[Units]]*100,0)&amp;"%]"),"")</f>
        <v/>
      </c>
      <c r="M20" s="41" t="n">
        <f aca="false">IF(AssignmentTable[[#This Row],[_Valid]]=1,N(INDEX(tsk_StartWD,AssignmentTable[[#This Row],[_TaskPos]])),0)</f>
        <v>0</v>
      </c>
      <c r="N20" s="41" t="n">
        <f aca="false">IF(AssignmentTable[[#This Row],[_Valid]]=1,N(INDEX(tsk_FinishWD,AssignmentTable[[#This Row],[_TaskPos]])),0)</f>
        <v>0</v>
      </c>
      <c r="O20" s="41" t="n">
        <f aca="false">IF(OR(AssignmentTable[[#This Row],[Work]]=0,AssignmentTable[[#This Row],[_FinishWD]]=0),0,AssignmentTable[[#This Row],[Work]]/(AssignmentTable[[#This Row],[_FinishWD]]-AssignmentTable[[#This Row],[_StartWD]]+1))</f>
        <v>0</v>
      </c>
      <c r="P20" s="41" t="n">
        <f aca="false">AssignmentTable[[#This Row],[_WorkPerWD]]*MAX(0,AssignmentTable[[#This Row],[_StartWD]]-1)</f>
        <v>0</v>
      </c>
      <c r="Q20" s="41" t="n">
        <f aca="false">IF(AssignmentTable[[#This Row],[_Valid]]=1,AssignmentTable[[#This Row],[Work]]*N(INDEX(tsk_LeafProgress,AssignmentTable[[#This Row],[_TaskPos]])),0)</f>
        <v>0</v>
      </c>
      <c r="R20" s="41" t="n">
        <f aca="false">IF(NOT(AssignmentTable[[#This Row],[_Valid]]=1),0,IF(N(INDEX(tsk_LeafTotalCost,AssignmentTable[[#This Row],[_TaskPos]]))=0,0,N(INDEX(tsk_LeafAC,AssignmentTable[[#This Row],[_TaskPos]]))*AssignmentTable[[#This Row],[Cost]]/INDEX(tsk_LeafTotalCost,AssignmentTable[[#This Row],[_TaskPos]])))</f>
        <v>0</v>
      </c>
      <c r="S20" s="41" t="n">
        <f aca="false">IF(NOT(AssignmentTable[[#This Row],[_Valid]]=1),0,IF(N(INDEX(tsk_LateKey,AssignmentTable[[#This Row],[_TaskPos]]))&gt;0,1,0))</f>
        <v>0</v>
      </c>
      <c r="T20" s="41" t="n">
        <f aca="false">IF(NOT(AssignmentTable[[#This Row],[_Valid]]=1),0,IF(INDEX(tsk_Critical,AssignmentTable[[#This Row],[_TaskPos]])="Yes",1,0))</f>
        <v>0</v>
      </c>
      <c r="U2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29"/>
      <c r="C21" s="24" t="str">
        <f aca="false">IF(AssignmentTable[[#This Row],[_TaskPos]]&lt;=0,"",INDEX(tsk_Name,AssignmentTable[[#This Row],[_TaskPos]])&amp;"")</f>
        <v/>
      </c>
      <c r="D21" s="30"/>
      <c r="E21" s="80"/>
      <c r="F21" s="96" t="n">
        <f aca="false">IF(AssignmentTable[[#This Row],[_Valid]]=1,N(INDEX(tsk_Duration,AssignmentTable[[#This Row],[_TaskPos]]))*HoursPerDay*IF(AssignmentTable[[#This Row],[Units]]="",DefaultUnits,AssignmentTable[[#This Row],[Units]]),0)</f>
        <v>0</v>
      </c>
      <c r="G21" s="97" t="n">
        <f aca="false">IF(AssignmentTable[[#This Row],[Work]]=0,0,AssignmentTable[[#This Row],[Work]]*IFERROR(INDEX(res_Rate,MATCH(AssignmentTable[[#This Row],[Resource]],res_Name,0)),0))</f>
        <v>0</v>
      </c>
      <c r="H2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41" t="n">
        <f aca="false">IF(N(AssignmentTable[[#This Row],[Task UID]])=0,0,IFERROR(MATCH(AssignmentTable[[#This Row],[Task UID]],tsk_UID,0),-1))</f>
        <v>0</v>
      </c>
      <c r="J21" s="41" t="n">
        <f aca="false">IF(AND(AssignmentTable[[#This Row],[_TaskPos]]&gt;0,AssignmentTable[[#This Row],[Resource]]&lt;&gt;"",AssignmentTable[[#This Row],[Check]]=""),1,0)</f>
        <v>0</v>
      </c>
      <c r="K21" s="41" t="str">
        <f aca="false">IF(AssignmentTable[[#This Row],[_Valid]]=1,AssignmentTable[[#This Row],[Task UID]]*1000+COUNTIFS(AssignmentTable[[#Headers],[Task UID]]:AssignmentTable[[#This Row],[Task UID]],AssignmentTable[[#This Row],[Task UID]],AssignmentTable[[#Headers],[_Valid]]:AssignmentTable[[#This Row],[_Valid]],1),"")</f>
        <v/>
      </c>
      <c r="L21" s="41" t="str">
        <f aca="false">IF(AssignmentTable[[#This Row],[_Valid]]=1,AssignmentTable[[#This Row],[Resource]]&amp;IF(OR(AssignmentTable[[#This Row],[Units]]="",AssignmentTable[[#This Row],[Units]]=1),"","["&amp;ROUND(AssignmentTable[[#This Row],[Units]]*100,0)&amp;"%]"),"")</f>
        <v/>
      </c>
      <c r="M21" s="41" t="n">
        <f aca="false">IF(AssignmentTable[[#This Row],[_Valid]]=1,N(INDEX(tsk_StartWD,AssignmentTable[[#This Row],[_TaskPos]])),0)</f>
        <v>0</v>
      </c>
      <c r="N21" s="41" t="n">
        <f aca="false">IF(AssignmentTable[[#This Row],[_Valid]]=1,N(INDEX(tsk_FinishWD,AssignmentTable[[#This Row],[_TaskPos]])),0)</f>
        <v>0</v>
      </c>
      <c r="O21" s="41" t="n">
        <f aca="false">IF(OR(AssignmentTable[[#This Row],[Work]]=0,AssignmentTable[[#This Row],[_FinishWD]]=0),0,AssignmentTable[[#This Row],[Work]]/(AssignmentTable[[#This Row],[_FinishWD]]-AssignmentTable[[#This Row],[_StartWD]]+1))</f>
        <v>0</v>
      </c>
      <c r="P21" s="41" t="n">
        <f aca="false">AssignmentTable[[#This Row],[_WorkPerWD]]*MAX(0,AssignmentTable[[#This Row],[_StartWD]]-1)</f>
        <v>0</v>
      </c>
      <c r="Q21" s="41" t="n">
        <f aca="false">IF(AssignmentTable[[#This Row],[_Valid]]=1,AssignmentTable[[#This Row],[Work]]*N(INDEX(tsk_LeafProgress,AssignmentTable[[#This Row],[_TaskPos]])),0)</f>
        <v>0</v>
      </c>
      <c r="R21" s="41" t="n">
        <f aca="false">IF(NOT(AssignmentTable[[#This Row],[_Valid]]=1),0,IF(N(INDEX(tsk_LeafTotalCost,AssignmentTable[[#This Row],[_TaskPos]]))=0,0,N(INDEX(tsk_LeafAC,AssignmentTable[[#This Row],[_TaskPos]]))*AssignmentTable[[#This Row],[Cost]]/INDEX(tsk_LeafTotalCost,AssignmentTable[[#This Row],[_TaskPos]])))</f>
        <v>0</v>
      </c>
      <c r="S21" s="41" t="n">
        <f aca="false">IF(NOT(AssignmentTable[[#This Row],[_Valid]]=1),0,IF(N(INDEX(tsk_LateKey,AssignmentTable[[#This Row],[_TaskPos]]))&gt;0,1,0))</f>
        <v>0</v>
      </c>
      <c r="T21" s="41" t="n">
        <f aca="false">IF(NOT(AssignmentTable[[#This Row],[_Valid]]=1),0,IF(INDEX(tsk_Critical,AssignmentTable[[#This Row],[_TaskPos]])="Yes",1,0))</f>
        <v>0</v>
      </c>
      <c r="U2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29"/>
      <c r="C22" s="24" t="str">
        <f aca="false">IF(AssignmentTable[[#This Row],[_TaskPos]]&lt;=0,"",INDEX(tsk_Name,AssignmentTable[[#This Row],[_TaskPos]])&amp;"")</f>
        <v/>
      </c>
      <c r="D22" s="30"/>
      <c r="E22" s="80"/>
      <c r="F22" s="96" t="n">
        <f aca="false">IF(AssignmentTable[[#This Row],[_Valid]]=1,N(INDEX(tsk_Duration,AssignmentTable[[#This Row],[_TaskPos]]))*HoursPerDay*IF(AssignmentTable[[#This Row],[Units]]="",DefaultUnits,AssignmentTable[[#This Row],[Units]]),0)</f>
        <v>0</v>
      </c>
      <c r="G22" s="97" t="n">
        <f aca="false">IF(AssignmentTable[[#This Row],[Work]]=0,0,AssignmentTable[[#This Row],[Work]]*IFERROR(INDEX(res_Rate,MATCH(AssignmentTable[[#This Row],[Resource]],res_Name,0)),0))</f>
        <v>0</v>
      </c>
      <c r="H2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41" t="n">
        <f aca="false">IF(N(AssignmentTable[[#This Row],[Task UID]])=0,0,IFERROR(MATCH(AssignmentTable[[#This Row],[Task UID]],tsk_UID,0),-1))</f>
        <v>0</v>
      </c>
      <c r="J22" s="41" t="n">
        <f aca="false">IF(AND(AssignmentTable[[#This Row],[_TaskPos]]&gt;0,AssignmentTable[[#This Row],[Resource]]&lt;&gt;"",AssignmentTable[[#This Row],[Check]]=""),1,0)</f>
        <v>0</v>
      </c>
      <c r="K22" s="41" t="str">
        <f aca="false">IF(AssignmentTable[[#This Row],[_Valid]]=1,AssignmentTable[[#This Row],[Task UID]]*1000+COUNTIFS(AssignmentTable[[#Headers],[Task UID]]:AssignmentTable[[#This Row],[Task UID]],AssignmentTable[[#This Row],[Task UID]],AssignmentTable[[#Headers],[_Valid]]:AssignmentTable[[#This Row],[_Valid]],1),"")</f>
        <v/>
      </c>
      <c r="L22" s="41" t="str">
        <f aca="false">IF(AssignmentTable[[#This Row],[_Valid]]=1,AssignmentTable[[#This Row],[Resource]]&amp;IF(OR(AssignmentTable[[#This Row],[Units]]="",AssignmentTable[[#This Row],[Units]]=1),"","["&amp;ROUND(AssignmentTable[[#This Row],[Units]]*100,0)&amp;"%]"),"")</f>
        <v/>
      </c>
      <c r="M22" s="41" t="n">
        <f aca="false">IF(AssignmentTable[[#This Row],[_Valid]]=1,N(INDEX(tsk_StartWD,AssignmentTable[[#This Row],[_TaskPos]])),0)</f>
        <v>0</v>
      </c>
      <c r="N22" s="41" t="n">
        <f aca="false">IF(AssignmentTable[[#This Row],[_Valid]]=1,N(INDEX(tsk_FinishWD,AssignmentTable[[#This Row],[_TaskPos]])),0)</f>
        <v>0</v>
      </c>
      <c r="O22" s="41" t="n">
        <f aca="false">IF(OR(AssignmentTable[[#This Row],[Work]]=0,AssignmentTable[[#This Row],[_FinishWD]]=0),0,AssignmentTable[[#This Row],[Work]]/(AssignmentTable[[#This Row],[_FinishWD]]-AssignmentTable[[#This Row],[_StartWD]]+1))</f>
        <v>0</v>
      </c>
      <c r="P22" s="41" t="n">
        <f aca="false">AssignmentTable[[#This Row],[_WorkPerWD]]*MAX(0,AssignmentTable[[#This Row],[_StartWD]]-1)</f>
        <v>0</v>
      </c>
      <c r="Q22" s="41" t="n">
        <f aca="false">IF(AssignmentTable[[#This Row],[_Valid]]=1,AssignmentTable[[#This Row],[Work]]*N(INDEX(tsk_LeafProgress,AssignmentTable[[#This Row],[_TaskPos]])),0)</f>
        <v>0</v>
      </c>
      <c r="R22" s="41" t="n">
        <f aca="false">IF(NOT(AssignmentTable[[#This Row],[_Valid]]=1),0,IF(N(INDEX(tsk_LeafTotalCost,AssignmentTable[[#This Row],[_TaskPos]]))=0,0,N(INDEX(tsk_LeafAC,AssignmentTable[[#This Row],[_TaskPos]]))*AssignmentTable[[#This Row],[Cost]]/INDEX(tsk_LeafTotalCost,AssignmentTable[[#This Row],[_TaskPos]])))</f>
        <v>0</v>
      </c>
      <c r="S22" s="41" t="n">
        <f aca="false">IF(NOT(AssignmentTable[[#This Row],[_Valid]]=1),0,IF(N(INDEX(tsk_LateKey,AssignmentTable[[#This Row],[_TaskPos]]))&gt;0,1,0))</f>
        <v>0</v>
      </c>
      <c r="T22" s="41" t="n">
        <f aca="false">IF(NOT(AssignmentTable[[#This Row],[_Valid]]=1),0,IF(INDEX(tsk_Critical,AssignmentTable[[#This Row],[_TaskPos]])="Yes",1,0))</f>
        <v>0</v>
      </c>
      <c r="U2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29"/>
      <c r="C23" s="24" t="str">
        <f aca="false">IF(AssignmentTable[[#This Row],[_TaskPos]]&lt;=0,"",INDEX(tsk_Name,AssignmentTable[[#This Row],[_TaskPos]])&amp;"")</f>
        <v/>
      </c>
      <c r="D23" s="30"/>
      <c r="E23" s="80"/>
      <c r="F23" s="96" t="n">
        <f aca="false">IF(AssignmentTable[[#This Row],[_Valid]]=1,N(INDEX(tsk_Duration,AssignmentTable[[#This Row],[_TaskPos]]))*HoursPerDay*IF(AssignmentTable[[#This Row],[Units]]="",DefaultUnits,AssignmentTable[[#This Row],[Units]]),0)</f>
        <v>0</v>
      </c>
      <c r="G23" s="97" t="n">
        <f aca="false">IF(AssignmentTable[[#This Row],[Work]]=0,0,AssignmentTable[[#This Row],[Work]]*IFERROR(INDEX(res_Rate,MATCH(AssignmentTable[[#This Row],[Resource]],res_Name,0)),0))</f>
        <v>0</v>
      </c>
      <c r="H2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41" t="n">
        <f aca="false">IF(N(AssignmentTable[[#This Row],[Task UID]])=0,0,IFERROR(MATCH(AssignmentTable[[#This Row],[Task UID]],tsk_UID,0),-1))</f>
        <v>0</v>
      </c>
      <c r="J23" s="41" t="n">
        <f aca="false">IF(AND(AssignmentTable[[#This Row],[_TaskPos]]&gt;0,AssignmentTable[[#This Row],[Resource]]&lt;&gt;"",AssignmentTable[[#This Row],[Check]]=""),1,0)</f>
        <v>0</v>
      </c>
      <c r="K23" s="41" t="str">
        <f aca="false">IF(AssignmentTable[[#This Row],[_Valid]]=1,AssignmentTable[[#This Row],[Task UID]]*1000+COUNTIFS(AssignmentTable[[#Headers],[Task UID]]:AssignmentTable[[#This Row],[Task UID]],AssignmentTable[[#This Row],[Task UID]],AssignmentTable[[#Headers],[_Valid]]:AssignmentTable[[#This Row],[_Valid]],1),"")</f>
        <v/>
      </c>
      <c r="L23" s="41" t="str">
        <f aca="false">IF(AssignmentTable[[#This Row],[_Valid]]=1,AssignmentTable[[#This Row],[Resource]]&amp;IF(OR(AssignmentTable[[#This Row],[Units]]="",AssignmentTable[[#This Row],[Units]]=1),"","["&amp;ROUND(AssignmentTable[[#This Row],[Units]]*100,0)&amp;"%]"),"")</f>
        <v/>
      </c>
      <c r="M23" s="41" t="n">
        <f aca="false">IF(AssignmentTable[[#This Row],[_Valid]]=1,N(INDEX(tsk_StartWD,AssignmentTable[[#This Row],[_TaskPos]])),0)</f>
        <v>0</v>
      </c>
      <c r="N23" s="41" t="n">
        <f aca="false">IF(AssignmentTable[[#This Row],[_Valid]]=1,N(INDEX(tsk_FinishWD,AssignmentTable[[#This Row],[_TaskPos]])),0)</f>
        <v>0</v>
      </c>
      <c r="O23" s="41" t="n">
        <f aca="false">IF(OR(AssignmentTable[[#This Row],[Work]]=0,AssignmentTable[[#This Row],[_FinishWD]]=0),0,AssignmentTable[[#This Row],[Work]]/(AssignmentTable[[#This Row],[_FinishWD]]-AssignmentTable[[#This Row],[_StartWD]]+1))</f>
        <v>0</v>
      </c>
      <c r="P23" s="41" t="n">
        <f aca="false">AssignmentTable[[#This Row],[_WorkPerWD]]*MAX(0,AssignmentTable[[#This Row],[_StartWD]]-1)</f>
        <v>0</v>
      </c>
      <c r="Q23" s="41" t="n">
        <f aca="false">IF(AssignmentTable[[#This Row],[_Valid]]=1,AssignmentTable[[#This Row],[Work]]*N(INDEX(tsk_LeafProgress,AssignmentTable[[#This Row],[_TaskPos]])),0)</f>
        <v>0</v>
      </c>
      <c r="R23" s="41" t="n">
        <f aca="false">IF(NOT(AssignmentTable[[#This Row],[_Valid]]=1),0,IF(N(INDEX(tsk_LeafTotalCost,AssignmentTable[[#This Row],[_TaskPos]]))=0,0,N(INDEX(tsk_LeafAC,AssignmentTable[[#This Row],[_TaskPos]]))*AssignmentTable[[#This Row],[Cost]]/INDEX(tsk_LeafTotalCost,AssignmentTable[[#This Row],[_TaskPos]])))</f>
        <v>0</v>
      </c>
      <c r="S23" s="41" t="n">
        <f aca="false">IF(NOT(AssignmentTable[[#This Row],[_Valid]]=1),0,IF(N(INDEX(tsk_LateKey,AssignmentTable[[#This Row],[_TaskPos]]))&gt;0,1,0))</f>
        <v>0</v>
      </c>
      <c r="T23" s="41" t="n">
        <f aca="false">IF(NOT(AssignmentTable[[#This Row],[_Valid]]=1),0,IF(INDEX(tsk_Critical,AssignmentTable[[#This Row],[_TaskPos]])="Yes",1,0))</f>
        <v>0</v>
      </c>
      <c r="U2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29"/>
      <c r="C24" s="24" t="str">
        <f aca="false">IF(AssignmentTable[[#This Row],[_TaskPos]]&lt;=0,"",INDEX(tsk_Name,AssignmentTable[[#This Row],[_TaskPos]])&amp;"")</f>
        <v/>
      </c>
      <c r="D24" s="30"/>
      <c r="E24" s="80"/>
      <c r="F24" s="96" t="n">
        <f aca="false">IF(AssignmentTable[[#This Row],[_Valid]]=1,N(INDEX(tsk_Duration,AssignmentTable[[#This Row],[_TaskPos]]))*HoursPerDay*IF(AssignmentTable[[#This Row],[Units]]="",DefaultUnits,AssignmentTable[[#This Row],[Units]]),0)</f>
        <v>0</v>
      </c>
      <c r="G24" s="97" t="n">
        <f aca="false">IF(AssignmentTable[[#This Row],[Work]]=0,0,AssignmentTable[[#This Row],[Work]]*IFERROR(INDEX(res_Rate,MATCH(AssignmentTable[[#This Row],[Resource]],res_Name,0)),0))</f>
        <v>0</v>
      </c>
      <c r="H2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41" t="n">
        <f aca="false">IF(N(AssignmentTable[[#This Row],[Task UID]])=0,0,IFERROR(MATCH(AssignmentTable[[#This Row],[Task UID]],tsk_UID,0),-1))</f>
        <v>0</v>
      </c>
      <c r="J24" s="41" t="n">
        <f aca="false">IF(AND(AssignmentTable[[#This Row],[_TaskPos]]&gt;0,AssignmentTable[[#This Row],[Resource]]&lt;&gt;"",AssignmentTable[[#This Row],[Check]]=""),1,0)</f>
        <v>0</v>
      </c>
      <c r="K24" s="41" t="str">
        <f aca="false">IF(AssignmentTable[[#This Row],[_Valid]]=1,AssignmentTable[[#This Row],[Task UID]]*1000+COUNTIFS(AssignmentTable[[#Headers],[Task UID]]:AssignmentTable[[#This Row],[Task UID]],AssignmentTable[[#This Row],[Task UID]],AssignmentTable[[#Headers],[_Valid]]:AssignmentTable[[#This Row],[_Valid]],1),"")</f>
        <v/>
      </c>
      <c r="L24" s="41" t="str">
        <f aca="false">IF(AssignmentTable[[#This Row],[_Valid]]=1,AssignmentTable[[#This Row],[Resource]]&amp;IF(OR(AssignmentTable[[#This Row],[Units]]="",AssignmentTable[[#This Row],[Units]]=1),"","["&amp;ROUND(AssignmentTable[[#This Row],[Units]]*100,0)&amp;"%]"),"")</f>
        <v/>
      </c>
      <c r="M24" s="41" t="n">
        <f aca="false">IF(AssignmentTable[[#This Row],[_Valid]]=1,N(INDEX(tsk_StartWD,AssignmentTable[[#This Row],[_TaskPos]])),0)</f>
        <v>0</v>
      </c>
      <c r="N24" s="41" t="n">
        <f aca="false">IF(AssignmentTable[[#This Row],[_Valid]]=1,N(INDEX(tsk_FinishWD,AssignmentTable[[#This Row],[_TaskPos]])),0)</f>
        <v>0</v>
      </c>
      <c r="O24" s="41" t="n">
        <f aca="false">IF(OR(AssignmentTable[[#This Row],[Work]]=0,AssignmentTable[[#This Row],[_FinishWD]]=0),0,AssignmentTable[[#This Row],[Work]]/(AssignmentTable[[#This Row],[_FinishWD]]-AssignmentTable[[#This Row],[_StartWD]]+1))</f>
        <v>0</v>
      </c>
      <c r="P24" s="41" t="n">
        <f aca="false">AssignmentTable[[#This Row],[_WorkPerWD]]*MAX(0,AssignmentTable[[#This Row],[_StartWD]]-1)</f>
        <v>0</v>
      </c>
      <c r="Q24" s="41" t="n">
        <f aca="false">IF(AssignmentTable[[#This Row],[_Valid]]=1,AssignmentTable[[#This Row],[Work]]*N(INDEX(tsk_LeafProgress,AssignmentTable[[#This Row],[_TaskPos]])),0)</f>
        <v>0</v>
      </c>
      <c r="R24" s="41" t="n">
        <f aca="false">IF(NOT(AssignmentTable[[#This Row],[_Valid]]=1),0,IF(N(INDEX(tsk_LeafTotalCost,AssignmentTable[[#This Row],[_TaskPos]]))=0,0,N(INDEX(tsk_LeafAC,AssignmentTable[[#This Row],[_TaskPos]]))*AssignmentTable[[#This Row],[Cost]]/INDEX(tsk_LeafTotalCost,AssignmentTable[[#This Row],[_TaskPos]])))</f>
        <v>0</v>
      </c>
      <c r="S24" s="41" t="n">
        <f aca="false">IF(NOT(AssignmentTable[[#This Row],[_Valid]]=1),0,IF(N(INDEX(tsk_LateKey,AssignmentTable[[#This Row],[_TaskPos]]))&gt;0,1,0))</f>
        <v>0</v>
      </c>
      <c r="T24" s="41" t="n">
        <f aca="false">IF(NOT(AssignmentTable[[#This Row],[_Valid]]=1),0,IF(INDEX(tsk_Critical,AssignmentTable[[#This Row],[_TaskPos]])="Yes",1,0))</f>
        <v>0</v>
      </c>
      <c r="U2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29"/>
      <c r="C25" s="24" t="str">
        <f aca="false">IF(AssignmentTable[[#This Row],[_TaskPos]]&lt;=0,"",INDEX(tsk_Name,AssignmentTable[[#This Row],[_TaskPos]])&amp;"")</f>
        <v/>
      </c>
      <c r="D25" s="30"/>
      <c r="E25" s="80"/>
      <c r="F25" s="96" t="n">
        <f aca="false">IF(AssignmentTable[[#This Row],[_Valid]]=1,N(INDEX(tsk_Duration,AssignmentTable[[#This Row],[_TaskPos]]))*HoursPerDay*IF(AssignmentTable[[#This Row],[Units]]="",DefaultUnits,AssignmentTable[[#This Row],[Units]]),0)</f>
        <v>0</v>
      </c>
      <c r="G25" s="97" t="n">
        <f aca="false">IF(AssignmentTable[[#This Row],[Work]]=0,0,AssignmentTable[[#This Row],[Work]]*IFERROR(INDEX(res_Rate,MATCH(AssignmentTable[[#This Row],[Resource]],res_Name,0)),0))</f>
        <v>0</v>
      </c>
      <c r="H2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41" t="n">
        <f aca="false">IF(N(AssignmentTable[[#This Row],[Task UID]])=0,0,IFERROR(MATCH(AssignmentTable[[#This Row],[Task UID]],tsk_UID,0),-1))</f>
        <v>0</v>
      </c>
      <c r="J25" s="41" t="n">
        <f aca="false">IF(AND(AssignmentTable[[#This Row],[_TaskPos]]&gt;0,AssignmentTable[[#This Row],[Resource]]&lt;&gt;"",AssignmentTable[[#This Row],[Check]]=""),1,0)</f>
        <v>0</v>
      </c>
      <c r="K25" s="41" t="str">
        <f aca="false">IF(AssignmentTable[[#This Row],[_Valid]]=1,AssignmentTable[[#This Row],[Task UID]]*1000+COUNTIFS(AssignmentTable[[#Headers],[Task UID]]:AssignmentTable[[#This Row],[Task UID]],AssignmentTable[[#This Row],[Task UID]],AssignmentTable[[#Headers],[_Valid]]:AssignmentTable[[#This Row],[_Valid]],1),"")</f>
        <v/>
      </c>
      <c r="L25" s="41" t="str">
        <f aca="false">IF(AssignmentTable[[#This Row],[_Valid]]=1,AssignmentTable[[#This Row],[Resource]]&amp;IF(OR(AssignmentTable[[#This Row],[Units]]="",AssignmentTable[[#This Row],[Units]]=1),"","["&amp;ROUND(AssignmentTable[[#This Row],[Units]]*100,0)&amp;"%]"),"")</f>
        <v/>
      </c>
      <c r="M25" s="41" t="n">
        <f aca="false">IF(AssignmentTable[[#This Row],[_Valid]]=1,N(INDEX(tsk_StartWD,AssignmentTable[[#This Row],[_TaskPos]])),0)</f>
        <v>0</v>
      </c>
      <c r="N25" s="41" t="n">
        <f aca="false">IF(AssignmentTable[[#This Row],[_Valid]]=1,N(INDEX(tsk_FinishWD,AssignmentTable[[#This Row],[_TaskPos]])),0)</f>
        <v>0</v>
      </c>
      <c r="O25" s="41" t="n">
        <f aca="false">IF(OR(AssignmentTable[[#This Row],[Work]]=0,AssignmentTable[[#This Row],[_FinishWD]]=0),0,AssignmentTable[[#This Row],[Work]]/(AssignmentTable[[#This Row],[_FinishWD]]-AssignmentTable[[#This Row],[_StartWD]]+1))</f>
        <v>0</v>
      </c>
      <c r="P25" s="41" t="n">
        <f aca="false">AssignmentTable[[#This Row],[_WorkPerWD]]*MAX(0,AssignmentTable[[#This Row],[_StartWD]]-1)</f>
        <v>0</v>
      </c>
      <c r="Q25" s="41" t="n">
        <f aca="false">IF(AssignmentTable[[#This Row],[_Valid]]=1,AssignmentTable[[#This Row],[Work]]*N(INDEX(tsk_LeafProgress,AssignmentTable[[#This Row],[_TaskPos]])),0)</f>
        <v>0</v>
      </c>
      <c r="R25" s="41" t="n">
        <f aca="false">IF(NOT(AssignmentTable[[#This Row],[_Valid]]=1),0,IF(N(INDEX(tsk_LeafTotalCost,AssignmentTable[[#This Row],[_TaskPos]]))=0,0,N(INDEX(tsk_LeafAC,AssignmentTable[[#This Row],[_TaskPos]]))*AssignmentTable[[#This Row],[Cost]]/INDEX(tsk_LeafTotalCost,AssignmentTable[[#This Row],[_TaskPos]])))</f>
        <v>0</v>
      </c>
      <c r="S25" s="41" t="n">
        <f aca="false">IF(NOT(AssignmentTable[[#This Row],[_Valid]]=1),0,IF(N(INDEX(tsk_LateKey,AssignmentTable[[#This Row],[_TaskPos]]))&gt;0,1,0))</f>
        <v>0</v>
      </c>
      <c r="T25" s="41" t="n">
        <f aca="false">IF(NOT(AssignmentTable[[#This Row],[_Valid]]=1),0,IF(INDEX(tsk_Critical,AssignmentTable[[#This Row],[_TaskPos]])="Yes",1,0))</f>
        <v>0</v>
      </c>
      <c r="U2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29"/>
      <c r="C26" s="24" t="str">
        <f aca="false">IF(AssignmentTable[[#This Row],[_TaskPos]]&lt;=0,"",INDEX(tsk_Name,AssignmentTable[[#This Row],[_TaskPos]])&amp;"")</f>
        <v/>
      </c>
      <c r="D26" s="30"/>
      <c r="E26" s="80"/>
      <c r="F26" s="96" t="n">
        <f aca="false">IF(AssignmentTable[[#This Row],[_Valid]]=1,N(INDEX(tsk_Duration,AssignmentTable[[#This Row],[_TaskPos]]))*HoursPerDay*IF(AssignmentTable[[#This Row],[Units]]="",DefaultUnits,AssignmentTable[[#This Row],[Units]]),0)</f>
        <v>0</v>
      </c>
      <c r="G26" s="97" t="n">
        <f aca="false">IF(AssignmentTable[[#This Row],[Work]]=0,0,AssignmentTable[[#This Row],[Work]]*IFERROR(INDEX(res_Rate,MATCH(AssignmentTable[[#This Row],[Resource]],res_Name,0)),0))</f>
        <v>0</v>
      </c>
      <c r="H2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41" t="n">
        <f aca="false">IF(N(AssignmentTable[[#This Row],[Task UID]])=0,0,IFERROR(MATCH(AssignmentTable[[#This Row],[Task UID]],tsk_UID,0),-1))</f>
        <v>0</v>
      </c>
      <c r="J26" s="41" t="n">
        <f aca="false">IF(AND(AssignmentTable[[#This Row],[_TaskPos]]&gt;0,AssignmentTable[[#This Row],[Resource]]&lt;&gt;"",AssignmentTable[[#This Row],[Check]]=""),1,0)</f>
        <v>0</v>
      </c>
      <c r="K26" s="41" t="str">
        <f aca="false">IF(AssignmentTable[[#This Row],[_Valid]]=1,AssignmentTable[[#This Row],[Task UID]]*1000+COUNTIFS(AssignmentTable[[#Headers],[Task UID]]:AssignmentTable[[#This Row],[Task UID]],AssignmentTable[[#This Row],[Task UID]],AssignmentTable[[#Headers],[_Valid]]:AssignmentTable[[#This Row],[_Valid]],1),"")</f>
        <v/>
      </c>
      <c r="L26" s="41" t="str">
        <f aca="false">IF(AssignmentTable[[#This Row],[_Valid]]=1,AssignmentTable[[#This Row],[Resource]]&amp;IF(OR(AssignmentTable[[#This Row],[Units]]="",AssignmentTable[[#This Row],[Units]]=1),"","["&amp;ROUND(AssignmentTable[[#This Row],[Units]]*100,0)&amp;"%]"),"")</f>
        <v/>
      </c>
      <c r="M26" s="41" t="n">
        <f aca="false">IF(AssignmentTable[[#This Row],[_Valid]]=1,N(INDEX(tsk_StartWD,AssignmentTable[[#This Row],[_TaskPos]])),0)</f>
        <v>0</v>
      </c>
      <c r="N26" s="41" t="n">
        <f aca="false">IF(AssignmentTable[[#This Row],[_Valid]]=1,N(INDEX(tsk_FinishWD,AssignmentTable[[#This Row],[_TaskPos]])),0)</f>
        <v>0</v>
      </c>
      <c r="O26" s="41" t="n">
        <f aca="false">IF(OR(AssignmentTable[[#This Row],[Work]]=0,AssignmentTable[[#This Row],[_FinishWD]]=0),0,AssignmentTable[[#This Row],[Work]]/(AssignmentTable[[#This Row],[_FinishWD]]-AssignmentTable[[#This Row],[_StartWD]]+1))</f>
        <v>0</v>
      </c>
      <c r="P26" s="41" t="n">
        <f aca="false">AssignmentTable[[#This Row],[_WorkPerWD]]*MAX(0,AssignmentTable[[#This Row],[_StartWD]]-1)</f>
        <v>0</v>
      </c>
      <c r="Q26" s="41" t="n">
        <f aca="false">IF(AssignmentTable[[#This Row],[_Valid]]=1,AssignmentTable[[#This Row],[Work]]*N(INDEX(tsk_LeafProgress,AssignmentTable[[#This Row],[_TaskPos]])),0)</f>
        <v>0</v>
      </c>
      <c r="R26" s="41" t="n">
        <f aca="false">IF(NOT(AssignmentTable[[#This Row],[_Valid]]=1),0,IF(N(INDEX(tsk_LeafTotalCost,AssignmentTable[[#This Row],[_TaskPos]]))=0,0,N(INDEX(tsk_LeafAC,AssignmentTable[[#This Row],[_TaskPos]]))*AssignmentTable[[#This Row],[Cost]]/INDEX(tsk_LeafTotalCost,AssignmentTable[[#This Row],[_TaskPos]])))</f>
        <v>0</v>
      </c>
      <c r="S26" s="41" t="n">
        <f aca="false">IF(NOT(AssignmentTable[[#This Row],[_Valid]]=1),0,IF(N(INDEX(tsk_LateKey,AssignmentTable[[#This Row],[_TaskPos]]))&gt;0,1,0))</f>
        <v>0</v>
      </c>
      <c r="T26" s="41" t="n">
        <f aca="false">IF(NOT(AssignmentTable[[#This Row],[_Valid]]=1),0,IF(INDEX(tsk_Critical,AssignmentTable[[#This Row],[_TaskPos]])="Yes",1,0))</f>
        <v>0</v>
      </c>
      <c r="U2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29"/>
      <c r="C27" s="24" t="str">
        <f aca="false">IF(AssignmentTable[[#This Row],[_TaskPos]]&lt;=0,"",INDEX(tsk_Name,AssignmentTable[[#This Row],[_TaskPos]])&amp;"")</f>
        <v/>
      </c>
      <c r="D27" s="30"/>
      <c r="E27" s="80"/>
      <c r="F27" s="96" t="n">
        <f aca="false">IF(AssignmentTable[[#This Row],[_Valid]]=1,N(INDEX(tsk_Duration,AssignmentTable[[#This Row],[_TaskPos]]))*HoursPerDay*IF(AssignmentTable[[#This Row],[Units]]="",DefaultUnits,AssignmentTable[[#This Row],[Units]]),0)</f>
        <v>0</v>
      </c>
      <c r="G27" s="97" t="n">
        <f aca="false">IF(AssignmentTable[[#This Row],[Work]]=0,0,AssignmentTable[[#This Row],[Work]]*IFERROR(INDEX(res_Rate,MATCH(AssignmentTable[[#This Row],[Resource]],res_Name,0)),0))</f>
        <v>0</v>
      </c>
      <c r="H2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41" t="n">
        <f aca="false">IF(N(AssignmentTable[[#This Row],[Task UID]])=0,0,IFERROR(MATCH(AssignmentTable[[#This Row],[Task UID]],tsk_UID,0),-1))</f>
        <v>0</v>
      </c>
      <c r="J27" s="41" t="n">
        <f aca="false">IF(AND(AssignmentTable[[#This Row],[_TaskPos]]&gt;0,AssignmentTable[[#This Row],[Resource]]&lt;&gt;"",AssignmentTable[[#This Row],[Check]]=""),1,0)</f>
        <v>0</v>
      </c>
      <c r="K27" s="41" t="str">
        <f aca="false">IF(AssignmentTable[[#This Row],[_Valid]]=1,AssignmentTable[[#This Row],[Task UID]]*1000+COUNTIFS(AssignmentTable[[#Headers],[Task UID]]:AssignmentTable[[#This Row],[Task UID]],AssignmentTable[[#This Row],[Task UID]],AssignmentTable[[#Headers],[_Valid]]:AssignmentTable[[#This Row],[_Valid]],1),"")</f>
        <v/>
      </c>
      <c r="L27" s="41" t="str">
        <f aca="false">IF(AssignmentTable[[#This Row],[_Valid]]=1,AssignmentTable[[#This Row],[Resource]]&amp;IF(OR(AssignmentTable[[#This Row],[Units]]="",AssignmentTable[[#This Row],[Units]]=1),"","["&amp;ROUND(AssignmentTable[[#This Row],[Units]]*100,0)&amp;"%]"),"")</f>
        <v/>
      </c>
      <c r="M27" s="41" t="n">
        <f aca="false">IF(AssignmentTable[[#This Row],[_Valid]]=1,N(INDEX(tsk_StartWD,AssignmentTable[[#This Row],[_TaskPos]])),0)</f>
        <v>0</v>
      </c>
      <c r="N27" s="41" t="n">
        <f aca="false">IF(AssignmentTable[[#This Row],[_Valid]]=1,N(INDEX(tsk_FinishWD,AssignmentTable[[#This Row],[_TaskPos]])),0)</f>
        <v>0</v>
      </c>
      <c r="O27" s="41" t="n">
        <f aca="false">IF(OR(AssignmentTable[[#This Row],[Work]]=0,AssignmentTable[[#This Row],[_FinishWD]]=0),0,AssignmentTable[[#This Row],[Work]]/(AssignmentTable[[#This Row],[_FinishWD]]-AssignmentTable[[#This Row],[_StartWD]]+1))</f>
        <v>0</v>
      </c>
      <c r="P27" s="41" t="n">
        <f aca="false">AssignmentTable[[#This Row],[_WorkPerWD]]*MAX(0,AssignmentTable[[#This Row],[_StartWD]]-1)</f>
        <v>0</v>
      </c>
      <c r="Q27" s="41" t="n">
        <f aca="false">IF(AssignmentTable[[#This Row],[_Valid]]=1,AssignmentTable[[#This Row],[Work]]*N(INDEX(tsk_LeafProgress,AssignmentTable[[#This Row],[_TaskPos]])),0)</f>
        <v>0</v>
      </c>
      <c r="R27" s="41" t="n">
        <f aca="false">IF(NOT(AssignmentTable[[#This Row],[_Valid]]=1),0,IF(N(INDEX(tsk_LeafTotalCost,AssignmentTable[[#This Row],[_TaskPos]]))=0,0,N(INDEX(tsk_LeafAC,AssignmentTable[[#This Row],[_TaskPos]]))*AssignmentTable[[#This Row],[Cost]]/INDEX(tsk_LeafTotalCost,AssignmentTable[[#This Row],[_TaskPos]])))</f>
        <v>0</v>
      </c>
      <c r="S27" s="41" t="n">
        <f aca="false">IF(NOT(AssignmentTable[[#This Row],[_Valid]]=1),0,IF(N(INDEX(tsk_LateKey,AssignmentTable[[#This Row],[_TaskPos]]))&gt;0,1,0))</f>
        <v>0</v>
      </c>
      <c r="T27" s="41" t="n">
        <f aca="false">IF(NOT(AssignmentTable[[#This Row],[_Valid]]=1),0,IF(INDEX(tsk_Critical,AssignmentTable[[#This Row],[_TaskPos]])="Yes",1,0))</f>
        <v>0</v>
      </c>
      <c r="U2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29"/>
      <c r="C28" s="24" t="str">
        <f aca="false">IF(AssignmentTable[[#This Row],[_TaskPos]]&lt;=0,"",INDEX(tsk_Name,AssignmentTable[[#This Row],[_TaskPos]])&amp;"")</f>
        <v/>
      </c>
      <c r="D28" s="30"/>
      <c r="E28" s="80"/>
      <c r="F28" s="96" t="n">
        <f aca="false">IF(AssignmentTable[[#This Row],[_Valid]]=1,N(INDEX(tsk_Duration,AssignmentTable[[#This Row],[_TaskPos]]))*HoursPerDay*IF(AssignmentTable[[#This Row],[Units]]="",DefaultUnits,AssignmentTable[[#This Row],[Units]]),0)</f>
        <v>0</v>
      </c>
      <c r="G28" s="97" t="n">
        <f aca="false">IF(AssignmentTable[[#This Row],[Work]]=0,0,AssignmentTable[[#This Row],[Work]]*IFERROR(INDEX(res_Rate,MATCH(AssignmentTable[[#This Row],[Resource]],res_Name,0)),0))</f>
        <v>0</v>
      </c>
      <c r="H2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41" t="n">
        <f aca="false">IF(N(AssignmentTable[[#This Row],[Task UID]])=0,0,IFERROR(MATCH(AssignmentTable[[#This Row],[Task UID]],tsk_UID,0),-1))</f>
        <v>0</v>
      </c>
      <c r="J28" s="41" t="n">
        <f aca="false">IF(AND(AssignmentTable[[#This Row],[_TaskPos]]&gt;0,AssignmentTable[[#This Row],[Resource]]&lt;&gt;"",AssignmentTable[[#This Row],[Check]]=""),1,0)</f>
        <v>0</v>
      </c>
      <c r="K28" s="41" t="str">
        <f aca="false">IF(AssignmentTable[[#This Row],[_Valid]]=1,AssignmentTable[[#This Row],[Task UID]]*1000+COUNTIFS(AssignmentTable[[#Headers],[Task UID]]:AssignmentTable[[#This Row],[Task UID]],AssignmentTable[[#This Row],[Task UID]],AssignmentTable[[#Headers],[_Valid]]:AssignmentTable[[#This Row],[_Valid]],1),"")</f>
        <v/>
      </c>
      <c r="L28" s="41" t="str">
        <f aca="false">IF(AssignmentTable[[#This Row],[_Valid]]=1,AssignmentTable[[#This Row],[Resource]]&amp;IF(OR(AssignmentTable[[#This Row],[Units]]="",AssignmentTable[[#This Row],[Units]]=1),"","["&amp;ROUND(AssignmentTable[[#This Row],[Units]]*100,0)&amp;"%]"),"")</f>
        <v/>
      </c>
      <c r="M28" s="41" t="n">
        <f aca="false">IF(AssignmentTable[[#This Row],[_Valid]]=1,N(INDEX(tsk_StartWD,AssignmentTable[[#This Row],[_TaskPos]])),0)</f>
        <v>0</v>
      </c>
      <c r="N28" s="41" t="n">
        <f aca="false">IF(AssignmentTable[[#This Row],[_Valid]]=1,N(INDEX(tsk_FinishWD,AssignmentTable[[#This Row],[_TaskPos]])),0)</f>
        <v>0</v>
      </c>
      <c r="O28" s="41" t="n">
        <f aca="false">IF(OR(AssignmentTable[[#This Row],[Work]]=0,AssignmentTable[[#This Row],[_FinishWD]]=0),0,AssignmentTable[[#This Row],[Work]]/(AssignmentTable[[#This Row],[_FinishWD]]-AssignmentTable[[#This Row],[_StartWD]]+1))</f>
        <v>0</v>
      </c>
      <c r="P28" s="41" t="n">
        <f aca="false">AssignmentTable[[#This Row],[_WorkPerWD]]*MAX(0,AssignmentTable[[#This Row],[_StartWD]]-1)</f>
        <v>0</v>
      </c>
      <c r="Q28" s="41" t="n">
        <f aca="false">IF(AssignmentTable[[#This Row],[_Valid]]=1,AssignmentTable[[#This Row],[Work]]*N(INDEX(tsk_LeafProgress,AssignmentTable[[#This Row],[_TaskPos]])),0)</f>
        <v>0</v>
      </c>
      <c r="R28" s="41" t="n">
        <f aca="false">IF(NOT(AssignmentTable[[#This Row],[_Valid]]=1),0,IF(N(INDEX(tsk_LeafTotalCost,AssignmentTable[[#This Row],[_TaskPos]]))=0,0,N(INDEX(tsk_LeafAC,AssignmentTable[[#This Row],[_TaskPos]]))*AssignmentTable[[#This Row],[Cost]]/INDEX(tsk_LeafTotalCost,AssignmentTable[[#This Row],[_TaskPos]])))</f>
        <v>0</v>
      </c>
      <c r="S28" s="41" t="n">
        <f aca="false">IF(NOT(AssignmentTable[[#This Row],[_Valid]]=1),0,IF(N(INDEX(tsk_LateKey,AssignmentTable[[#This Row],[_TaskPos]]))&gt;0,1,0))</f>
        <v>0</v>
      </c>
      <c r="T28" s="41" t="n">
        <f aca="false">IF(NOT(AssignmentTable[[#This Row],[_Valid]]=1),0,IF(INDEX(tsk_Critical,AssignmentTable[[#This Row],[_TaskPos]])="Yes",1,0))</f>
        <v>0</v>
      </c>
      <c r="U2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29"/>
      <c r="C29" s="24" t="str">
        <f aca="false">IF(AssignmentTable[[#This Row],[_TaskPos]]&lt;=0,"",INDEX(tsk_Name,AssignmentTable[[#This Row],[_TaskPos]])&amp;"")</f>
        <v/>
      </c>
      <c r="D29" s="30"/>
      <c r="E29" s="80"/>
      <c r="F29" s="96" t="n">
        <f aca="false">IF(AssignmentTable[[#This Row],[_Valid]]=1,N(INDEX(tsk_Duration,AssignmentTable[[#This Row],[_TaskPos]]))*HoursPerDay*IF(AssignmentTable[[#This Row],[Units]]="",DefaultUnits,AssignmentTable[[#This Row],[Units]]),0)</f>
        <v>0</v>
      </c>
      <c r="G29" s="97" t="n">
        <f aca="false">IF(AssignmentTable[[#This Row],[Work]]=0,0,AssignmentTable[[#This Row],[Work]]*IFERROR(INDEX(res_Rate,MATCH(AssignmentTable[[#This Row],[Resource]],res_Name,0)),0))</f>
        <v>0</v>
      </c>
      <c r="H2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41" t="n">
        <f aca="false">IF(N(AssignmentTable[[#This Row],[Task UID]])=0,0,IFERROR(MATCH(AssignmentTable[[#This Row],[Task UID]],tsk_UID,0),-1))</f>
        <v>0</v>
      </c>
      <c r="J29" s="41" t="n">
        <f aca="false">IF(AND(AssignmentTable[[#This Row],[_TaskPos]]&gt;0,AssignmentTable[[#This Row],[Resource]]&lt;&gt;"",AssignmentTable[[#This Row],[Check]]=""),1,0)</f>
        <v>0</v>
      </c>
      <c r="K29" s="41" t="str">
        <f aca="false">IF(AssignmentTable[[#This Row],[_Valid]]=1,AssignmentTable[[#This Row],[Task UID]]*1000+COUNTIFS(AssignmentTable[[#Headers],[Task UID]]:AssignmentTable[[#This Row],[Task UID]],AssignmentTable[[#This Row],[Task UID]],AssignmentTable[[#Headers],[_Valid]]:AssignmentTable[[#This Row],[_Valid]],1),"")</f>
        <v/>
      </c>
      <c r="L29" s="41" t="str">
        <f aca="false">IF(AssignmentTable[[#This Row],[_Valid]]=1,AssignmentTable[[#This Row],[Resource]]&amp;IF(OR(AssignmentTable[[#This Row],[Units]]="",AssignmentTable[[#This Row],[Units]]=1),"","["&amp;ROUND(AssignmentTable[[#This Row],[Units]]*100,0)&amp;"%]"),"")</f>
        <v/>
      </c>
      <c r="M29" s="41" t="n">
        <f aca="false">IF(AssignmentTable[[#This Row],[_Valid]]=1,N(INDEX(tsk_StartWD,AssignmentTable[[#This Row],[_TaskPos]])),0)</f>
        <v>0</v>
      </c>
      <c r="N29" s="41" t="n">
        <f aca="false">IF(AssignmentTable[[#This Row],[_Valid]]=1,N(INDEX(tsk_FinishWD,AssignmentTable[[#This Row],[_TaskPos]])),0)</f>
        <v>0</v>
      </c>
      <c r="O29" s="41" t="n">
        <f aca="false">IF(OR(AssignmentTable[[#This Row],[Work]]=0,AssignmentTable[[#This Row],[_FinishWD]]=0),0,AssignmentTable[[#This Row],[Work]]/(AssignmentTable[[#This Row],[_FinishWD]]-AssignmentTable[[#This Row],[_StartWD]]+1))</f>
        <v>0</v>
      </c>
      <c r="P29" s="41" t="n">
        <f aca="false">AssignmentTable[[#This Row],[_WorkPerWD]]*MAX(0,AssignmentTable[[#This Row],[_StartWD]]-1)</f>
        <v>0</v>
      </c>
      <c r="Q29" s="41" t="n">
        <f aca="false">IF(AssignmentTable[[#This Row],[_Valid]]=1,AssignmentTable[[#This Row],[Work]]*N(INDEX(tsk_LeafProgress,AssignmentTable[[#This Row],[_TaskPos]])),0)</f>
        <v>0</v>
      </c>
      <c r="R29" s="41" t="n">
        <f aca="false">IF(NOT(AssignmentTable[[#This Row],[_Valid]]=1),0,IF(N(INDEX(tsk_LeafTotalCost,AssignmentTable[[#This Row],[_TaskPos]]))=0,0,N(INDEX(tsk_LeafAC,AssignmentTable[[#This Row],[_TaskPos]]))*AssignmentTable[[#This Row],[Cost]]/INDEX(tsk_LeafTotalCost,AssignmentTable[[#This Row],[_TaskPos]])))</f>
        <v>0</v>
      </c>
      <c r="S29" s="41" t="n">
        <f aca="false">IF(NOT(AssignmentTable[[#This Row],[_Valid]]=1),0,IF(N(INDEX(tsk_LateKey,AssignmentTable[[#This Row],[_TaskPos]]))&gt;0,1,0))</f>
        <v>0</v>
      </c>
      <c r="T29" s="41" t="n">
        <f aca="false">IF(NOT(AssignmentTable[[#This Row],[_Valid]]=1),0,IF(INDEX(tsk_Critical,AssignmentTable[[#This Row],[_TaskPos]])="Yes",1,0))</f>
        <v>0</v>
      </c>
      <c r="U2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29"/>
      <c r="C30" s="24" t="str">
        <f aca="false">IF(AssignmentTable[[#This Row],[_TaskPos]]&lt;=0,"",INDEX(tsk_Name,AssignmentTable[[#This Row],[_TaskPos]])&amp;"")</f>
        <v/>
      </c>
      <c r="D30" s="30"/>
      <c r="E30" s="80"/>
      <c r="F30" s="96" t="n">
        <f aca="false">IF(AssignmentTable[[#This Row],[_Valid]]=1,N(INDEX(tsk_Duration,AssignmentTable[[#This Row],[_TaskPos]]))*HoursPerDay*IF(AssignmentTable[[#This Row],[Units]]="",DefaultUnits,AssignmentTable[[#This Row],[Units]]),0)</f>
        <v>0</v>
      </c>
      <c r="G30" s="97" t="n">
        <f aca="false">IF(AssignmentTable[[#This Row],[Work]]=0,0,AssignmentTable[[#This Row],[Work]]*IFERROR(INDEX(res_Rate,MATCH(AssignmentTable[[#This Row],[Resource]],res_Name,0)),0))</f>
        <v>0</v>
      </c>
      <c r="H3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41" t="n">
        <f aca="false">IF(N(AssignmentTable[[#This Row],[Task UID]])=0,0,IFERROR(MATCH(AssignmentTable[[#This Row],[Task UID]],tsk_UID,0),-1))</f>
        <v>0</v>
      </c>
      <c r="J30" s="41" t="n">
        <f aca="false">IF(AND(AssignmentTable[[#This Row],[_TaskPos]]&gt;0,AssignmentTable[[#This Row],[Resource]]&lt;&gt;"",AssignmentTable[[#This Row],[Check]]=""),1,0)</f>
        <v>0</v>
      </c>
      <c r="K30" s="41" t="str">
        <f aca="false">IF(AssignmentTable[[#This Row],[_Valid]]=1,AssignmentTable[[#This Row],[Task UID]]*1000+COUNTIFS(AssignmentTable[[#Headers],[Task UID]]:AssignmentTable[[#This Row],[Task UID]],AssignmentTable[[#This Row],[Task UID]],AssignmentTable[[#Headers],[_Valid]]:AssignmentTable[[#This Row],[_Valid]],1),"")</f>
        <v/>
      </c>
      <c r="L30" s="41" t="str">
        <f aca="false">IF(AssignmentTable[[#This Row],[_Valid]]=1,AssignmentTable[[#This Row],[Resource]]&amp;IF(OR(AssignmentTable[[#This Row],[Units]]="",AssignmentTable[[#This Row],[Units]]=1),"","["&amp;ROUND(AssignmentTable[[#This Row],[Units]]*100,0)&amp;"%]"),"")</f>
        <v/>
      </c>
      <c r="M30" s="41" t="n">
        <f aca="false">IF(AssignmentTable[[#This Row],[_Valid]]=1,N(INDEX(tsk_StartWD,AssignmentTable[[#This Row],[_TaskPos]])),0)</f>
        <v>0</v>
      </c>
      <c r="N30" s="41" t="n">
        <f aca="false">IF(AssignmentTable[[#This Row],[_Valid]]=1,N(INDEX(tsk_FinishWD,AssignmentTable[[#This Row],[_TaskPos]])),0)</f>
        <v>0</v>
      </c>
      <c r="O30" s="41" t="n">
        <f aca="false">IF(OR(AssignmentTable[[#This Row],[Work]]=0,AssignmentTable[[#This Row],[_FinishWD]]=0),0,AssignmentTable[[#This Row],[Work]]/(AssignmentTable[[#This Row],[_FinishWD]]-AssignmentTable[[#This Row],[_StartWD]]+1))</f>
        <v>0</v>
      </c>
      <c r="P30" s="41" t="n">
        <f aca="false">AssignmentTable[[#This Row],[_WorkPerWD]]*MAX(0,AssignmentTable[[#This Row],[_StartWD]]-1)</f>
        <v>0</v>
      </c>
      <c r="Q30" s="41" t="n">
        <f aca="false">IF(AssignmentTable[[#This Row],[_Valid]]=1,AssignmentTable[[#This Row],[Work]]*N(INDEX(tsk_LeafProgress,AssignmentTable[[#This Row],[_TaskPos]])),0)</f>
        <v>0</v>
      </c>
      <c r="R30" s="41" t="n">
        <f aca="false">IF(NOT(AssignmentTable[[#This Row],[_Valid]]=1),0,IF(N(INDEX(tsk_LeafTotalCost,AssignmentTable[[#This Row],[_TaskPos]]))=0,0,N(INDEX(tsk_LeafAC,AssignmentTable[[#This Row],[_TaskPos]]))*AssignmentTable[[#This Row],[Cost]]/INDEX(tsk_LeafTotalCost,AssignmentTable[[#This Row],[_TaskPos]])))</f>
        <v>0</v>
      </c>
      <c r="S30" s="41" t="n">
        <f aca="false">IF(NOT(AssignmentTable[[#This Row],[_Valid]]=1),0,IF(N(INDEX(tsk_LateKey,AssignmentTable[[#This Row],[_TaskPos]]))&gt;0,1,0))</f>
        <v>0</v>
      </c>
      <c r="T30" s="41" t="n">
        <f aca="false">IF(NOT(AssignmentTable[[#This Row],[_Valid]]=1),0,IF(INDEX(tsk_Critical,AssignmentTable[[#This Row],[_TaskPos]])="Yes",1,0))</f>
        <v>0</v>
      </c>
      <c r="U3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29"/>
      <c r="C31" s="24" t="str">
        <f aca="false">IF(AssignmentTable[[#This Row],[_TaskPos]]&lt;=0,"",INDEX(tsk_Name,AssignmentTable[[#This Row],[_TaskPos]])&amp;"")</f>
        <v/>
      </c>
      <c r="D31" s="30"/>
      <c r="E31" s="80"/>
      <c r="F31" s="96" t="n">
        <f aca="false">IF(AssignmentTable[[#This Row],[_Valid]]=1,N(INDEX(tsk_Duration,AssignmentTable[[#This Row],[_TaskPos]]))*HoursPerDay*IF(AssignmentTable[[#This Row],[Units]]="",DefaultUnits,AssignmentTable[[#This Row],[Units]]),0)</f>
        <v>0</v>
      </c>
      <c r="G31" s="97" t="n">
        <f aca="false">IF(AssignmentTable[[#This Row],[Work]]=0,0,AssignmentTable[[#This Row],[Work]]*IFERROR(INDEX(res_Rate,MATCH(AssignmentTable[[#This Row],[Resource]],res_Name,0)),0))</f>
        <v>0</v>
      </c>
      <c r="H3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41" t="n">
        <f aca="false">IF(N(AssignmentTable[[#This Row],[Task UID]])=0,0,IFERROR(MATCH(AssignmentTable[[#This Row],[Task UID]],tsk_UID,0),-1))</f>
        <v>0</v>
      </c>
      <c r="J31" s="41" t="n">
        <f aca="false">IF(AND(AssignmentTable[[#This Row],[_TaskPos]]&gt;0,AssignmentTable[[#This Row],[Resource]]&lt;&gt;"",AssignmentTable[[#This Row],[Check]]=""),1,0)</f>
        <v>0</v>
      </c>
      <c r="K31" s="41" t="str">
        <f aca="false">IF(AssignmentTable[[#This Row],[_Valid]]=1,AssignmentTable[[#This Row],[Task UID]]*1000+COUNTIFS(AssignmentTable[[#Headers],[Task UID]]:AssignmentTable[[#This Row],[Task UID]],AssignmentTable[[#This Row],[Task UID]],AssignmentTable[[#Headers],[_Valid]]:AssignmentTable[[#This Row],[_Valid]],1),"")</f>
        <v/>
      </c>
      <c r="L31" s="41" t="str">
        <f aca="false">IF(AssignmentTable[[#This Row],[_Valid]]=1,AssignmentTable[[#This Row],[Resource]]&amp;IF(OR(AssignmentTable[[#This Row],[Units]]="",AssignmentTable[[#This Row],[Units]]=1),"","["&amp;ROUND(AssignmentTable[[#This Row],[Units]]*100,0)&amp;"%]"),"")</f>
        <v/>
      </c>
      <c r="M31" s="41" t="n">
        <f aca="false">IF(AssignmentTable[[#This Row],[_Valid]]=1,N(INDEX(tsk_StartWD,AssignmentTable[[#This Row],[_TaskPos]])),0)</f>
        <v>0</v>
      </c>
      <c r="N31" s="41" t="n">
        <f aca="false">IF(AssignmentTable[[#This Row],[_Valid]]=1,N(INDEX(tsk_FinishWD,AssignmentTable[[#This Row],[_TaskPos]])),0)</f>
        <v>0</v>
      </c>
      <c r="O31" s="41" t="n">
        <f aca="false">IF(OR(AssignmentTable[[#This Row],[Work]]=0,AssignmentTable[[#This Row],[_FinishWD]]=0),0,AssignmentTable[[#This Row],[Work]]/(AssignmentTable[[#This Row],[_FinishWD]]-AssignmentTable[[#This Row],[_StartWD]]+1))</f>
        <v>0</v>
      </c>
      <c r="P31" s="41" t="n">
        <f aca="false">AssignmentTable[[#This Row],[_WorkPerWD]]*MAX(0,AssignmentTable[[#This Row],[_StartWD]]-1)</f>
        <v>0</v>
      </c>
      <c r="Q31" s="41" t="n">
        <f aca="false">IF(AssignmentTable[[#This Row],[_Valid]]=1,AssignmentTable[[#This Row],[Work]]*N(INDEX(tsk_LeafProgress,AssignmentTable[[#This Row],[_TaskPos]])),0)</f>
        <v>0</v>
      </c>
      <c r="R31" s="41" t="n">
        <f aca="false">IF(NOT(AssignmentTable[[#This Row],[_Valid]]=1),0,IF(N(INDEX(tsk_LeafTotalCost,AssignmentTable[[#This Row],[_TaskPos]]))=0,0,N(INDEX(tsk_LeafAC,AssignmentTable[[#This Row],[_TaskPos]]))*AssignmentTable[[#This Row],[Cost]]/INDEX(tsk_LeafTotalCost,AssignmentTable[[#This Row],[_TaskPos]])))</f>
        <v>0</v>
      </c>
      <c r="S31" s="41" t="n">
        <f aca="false">IF(NOT(AssignmentTable[[#This Row],[_Valid]]=1),0,IF(N(INDEX(tsk_LateKey,AssignmentTable[[#This Row],[_TaskPos]]))&gt;0,1,0))</f>
        <v>0</v>
      </c>
      <c r="T31" s="41" t="n">
        <f aca="false">IF(NOT(AssignmentTable[[#This Row],[_Valid]]=1),0,IF(INDEX(tsk_Critical,AssignmentTable[[#This Row],[_TaskPos]])="Yes",1,0))</f>
        <v>0</v>
      </c>
      <c r="U3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29"/>
      <c r="C32" s="24" t="str">
        <f aca="false">IF(AssignmentTable[[#This Row],[_TaskPos]]&lt;=0,"",INDEX(tsk_Name,AssignmentTable[[#This Row],[_TaskPos]])&amp;"")</f>
        <v/>
      </c>
      <c r="D32" s="30"/>
      <c r="E32" s="80"/>
      <c r="F32" s="96" t="n">
        <f aca="false">IF(AssignmentTable[[#This Row],[_Valid]]=1,N(INDEX(tsk_Duration,AssignmentTable[[#This Row],[_TaskPos]]))*HoursPerDay*IF(AssignmentTable[[#This Row],[Units]]="",DefaultUnits,AssignmentTable[[#This Row],[Units]]),0)</f>
        <v>0</v>
      </c>
      <c r="G32" s="97" t="n">
        <f aca="false">IF(AssignmentTable[[#This Row],[Work]]=0,0,AssignmentTable[[#This Row],[Work]]*IFERROR(INDEX(res_Rate,MATCH(AssignmentTable[[#This Row],[Resource]],res_Name,0)),0))</f>
        <v>0</v>
      </c>
      <c r="H3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41" t="n">
        <f aca="false">IF(N(AssignmentTable[[#This Row],[Task UID]])=0,0,IFERROR(MATCH(AssignmentTable[[#This Row],[Task UID]],tsk_UID,0),-1))</f>
        <v>0</v>
      </c>
      <c r="J32" s="41" t="n">
        <f aca="false">IF(AND(AssignmentTable[[#This Row],[_TaskPos]]&gt;0,AssignmentTable[[#This Row],[Resource]]&lt;&gt;"",AssignmentTable[[#This Row],[Check]]=""),1,0)</f>
        <v>0</v>
      </c>
      <c r="K32" s="41" t="str">
        <f aca="false">IF(AssignmentTable[[#This Row],[_Valid]]=1,AssignmentTable[[#This Row],[Task UID]]*1000+COUNTIFS(AssignmentTable[[#Headers],[Task UID]]:AssignmentTable[[#This Row],[Task UID]],AssignmentTable[[#This Row],[Task UID]],AssignmentTable[[#Headers],[_Valid]]:AssignmentTable[[#This Row],[_Valid]],1),"")</f>
        <v/>
      </c>
      <c r="L32" s="41" t="str">
        <f aca="false">IF(AssignmentTable[[#This Row],[_Valid]]=1,AssignmentTable[[#This Row],[Resource]]&amp;IF(OR(AssignmentTable[[#This Row],[Units]]="",AssignmentTable[[#This Row],[Units]]=1),"","["&amp;ROUND(AssignmentTable[[#This Row],[Units]]*100,0)&amp;"%]"),"")</f>
        <v/>
      </c>
      <c r="M32" s="41" t="n">
        <f aca="false">IF(AssignmentTable[[#This Row],[_Valid]]=1,N(INDEX(tsk_StartWD,AssignmentTable[[#This Row],[_TaskPos]])),0)</f>
        <v>0</v>
      </c>
      <c r="N32" s="41" t="n">
        <f aca="false">IF(AssignmentTable[[#This Row],[_Valid]]=1,N(INDEX(tsk_FinishWD,AssignmentTable[[#This Row],[_TaskPos]])),0)</f>
        <v>0</v>
      </c>
      <c r="O32" s="41" t="n">
        <f aca="false">IF(OR(AssignmentTable[[#This Row],[Work]]=0,AssignmentTable[[#This Row],[_FinishWD]]=0),0,AssignmentTable[[#This Row],[Work]]/(AssignmentTable[[#This Row],[_FinishWD]]-AssignmentTable[[#This Row],[_StartWD]]+1))</f>
        <v>0</v>
      </c>
      <c r="P32" s="41" t="n">
        <f aca="false">AssignmentTable[[#This Row],[_WorkPerWD]]*MAX(0,AssignmentTable[[#This Row],[_StartWD]]-1)</f>
        <v>0</v>
      </c>
      <c r="Q32" s="41" t="n">
        <f aca="false">IF(AssignmentTable[[#This Row],[_Valid]]=1,AssignmentTable[[#This Row],[Work]]*N(INDEX(tsk_LeafProgress,AssignmentTable[[#This Row],[_TaskPos]])),0)</f>
        <v>0</v>
      </c>
      <c r="R32" s="41" t="n">
        <f aca="false">IF(NOT(AssignmentTable[[#This Row],[_Valid]]=1),0,IF(N(INDEX(tsk_LeafTotalCost,AssignmentTable[[#This Row],[_TaskPos]]))=0,0,N(INDEX(tsk_LeafAC,AssignmentTable[[#This Row],[_TaskPos]]))*AssignmentTable[[#This Row],[Cost]]/INDEX(tsk_LeafTotalCost,AssignmentTable[[#This Row],[_TaskPos]])))</f>
        <v>0</v>
      </c>
      <c r="S32" s="41" t="n">
        <f aca="false">IF(NOT(AssignmentTable[[#This Row],[_Valid]]=1),0,IF(N(INDEX(tsk_LateKey,AssignmentTable[[#This Row],[_TaskPos]]))&gt;0,1,0))</f>
        <v>0</v>
      </c>
      <c r="T32" s="41" t="n">
        <f aca="false">IF(NOT(AssignmentTable[[#This Row],[_Valid]]=1),0,IF(INDEX(tsk_Critical,AssignmentTable[[#This Row],[_TaskPos]])="Yes",1,0))</f>
        <v>0</v>
      </c>
      <c r="U3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29"/>
      <c r="C33" s="24" t="str">
        <f aca="false">IF(AssignmentTable[[#This Row],[_TaskPos]]&lt;=0,"",INDEX(tsk_Name,AssignmentTable[[#This Row],[_TaskPos]])&amp;"")</f>
        <v/>
      </c>
      <c r="D33" s="30"/>
      <c r="E33" s="80"/>
      <c r="F33" s="96" t="n">
        <f aca="false">IF(AssignmentTable[[#This Row],[_Valid]]=1,N(INDEX(tsk_Duration,AssignmentTable[[#This Row],[_TaskPos]]))*HoursPerDay*IF(AssignmentTable[[#This Row],[Units]]="",DefaultUnits,AssignmentTable[[#This Row],[Units]]),0)</f>
        <v>0</v>
      </c>
      <c r="G33" s="97" t="n">
        <f aca="false">IF(AssignmentTable[[#This Row],[Work]]=0,0,AssignmentTable[[#This Row],[Work]]*IFERROR(INDEX(res_Rate,MATCH(AssignmentTable[[#This Row],[Resource]],res_Name,0)),0))</f>
        <v>0</v>
      </c>
      <c r="H3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41" t="n">
        <f aca="false">IF(N(AssignmentTable[[#This Row],[Task UID]])=0,0,IFERROR(MATCH(AssignmentTable[[#This Row],[Task UID]],tsk_UID,0),-1))</f>
        <v>0</v>
      </c>
      <c r="J33" s="41" t="n">
        <f aca="false">IF(AND(AssignmentTable[[#This Row],[_TaskPos]]&gt;0,AssignmentTable[[#This Row],[Resource]]&lt;&gt;"",AssignmentTable[[#This Row],[Check]]=""),1,0)</f>
        <v>0</v>
      </c>
      <c r="K33" s="41" t="str">
        <f aca="false">IF(AssignmentTable[[#This Row],[_Valid]]=1,AssignmentTable[[#This Row],[Task UID]]*1000+COUNTIFS(AssignmentTable[[#Headers],[Task UID]]:AssignmentTable[[#This Row],[Task UID]],AssignmentTable[[#This Row],[Task UID]],AssignmentTable[[#Headers],[_Valid]]:AssignmentTable[[#This Row],[_Valid]],1),"")</f>
        <v/>
      </c>
      <c r="L33" s="41" t="str">
        <f aca="false">IF(AssignmentTable[[#This Row],[_Valid]]=1,AssignmentTable[[#This Row],[Resource]]&amp;IF(OR(AssignmentTable[[#This Row],[Units]]="",AssignmentTable[[#This Row],[Units]]=1),"","["&amp;ROUND(AssignmentTable[[#This Row],[Units]]*100,0)&amp;"%]"),"")</f>
        <v/>
      </c>
      <c r="M33" s="41" t="n">
        <f aca="false">IF(AssignmentTable[[#This Row],[_Valid]]=1,N(INDEX(tsk_StartWD,AssignmentTable[[#This Row],[_TaskPos]])),0)</f>
        <v>0</v>
      </c>
      <c r="N33" s="41" t="n">
        <f aca="false">IF(AssignmentTable[[#This Row],[_Valid]]=1,N(INDEX(tsk_FinishWD,AssignmentTable[[#This Row],[_TaskPos]])),0)</f>
        <v>0</v>
      </c>
      <c r="O33" s="41" t="n">
        <f aca="false">IF(OR(AssignmentTable[[#This Row],[Work]]=0,AssignmentTable[[#This Row],[_FinishWD]]=0),0,AssignmentTable[[#This Row],[Work]]/(AssignmentTable[[#This Row],[_FinishWD]]-AssignmentTable[[#This Row],[_StartWD]]+1))</f>
        <v>0</v>
      </c>
      <c r="P33" s="41" t="n">
        <f aca="false">AssignmentTable[[#This Row],[_WorkPerWD]]*MAX(0,AssignmentTable[[#This Row],[_StartWD]]-1)</f>
        <v>0</v>
      </c>
      <c r="Q33" s="41" t="n">
        <f aca="false">IF(AssignmentTable[[#This Row],[_Valid]]=1,AssignmentTable[[#This Row],[Work]]*N(INDEX(tsk_LeafProgress,AssignmentTable[[#This Row],[_TaskPos]])),0)</f>
        <v>0</v>
      </c>
      <c r="R33" s="41" t="n">
        <f aca="false">IF(NOT(AssignmentTable[[#This Row],[_Valid]]=1),0,IF(N(INDEX(tsk_LeafTotalCost,AssignmentTable[[#This Row],[_TaskPos]]))=0,0,N(INDEX(tsk_LeafAC,AssignmentTable[[#This Row],[_TaskPos]]))*AssignmentTable[[#This Row],[Cost]]/INDEX(tsk_LeafTotalCost,AssignmentTable[[#This Row],[_TaskPos]])))</f>
        <v>0</v>
      </c>
      <c r="S33" s="41" t="n">
        <f aca="false">IF(NOT(AssignmentTable[[#This Row],[_Valid]]=1),0,IF(N(INDEX(tsk_LateKey,AssignmentTable[[#This Row],[_TaskPos]]))&gt;0,1,0))</f>
        <v>0</v>
      </c>
      <c r="T33" s="41" t="n">
        <f aca="false">IF(NOT(AssignmentTable[[#This Row],[_Valid]]=1),0,IF(INDEX(tsk_Critical,AssignmentTable[[#This Row],[_TaskPos]])="Yes",1,0))</f>
        <v>0</v>
      </c>
      <c r="U3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29"/>
      <c r="C34" s="24" t="str">
        <f aca="false">IF(AssignmentTable[[#This Row],[_TaskPos]]&lt;=0,"",INDEX(tsk_Name,AssignmentTable[[#This Row],[_TaskPos]])&amp;"")</f>
        <v/>
      </c>
      <c r="D34" s="30"/>
      <c r="E34" s="80"/>
      <c r="F34" s="96" t="n">
        <f aca="false">IF(AssignmentTable[[#This Row],[_Valid]]=1,N(INDEX(tsk_Duration,AssignmentTable[[#This Row],[_TaskPos]]))*HoursPerDay*IF(AssignmentTable[[#This Row],[Units]]="",DefaultUnits,AssignmentTable[[#This Row],[Units]]),0)</f>
        <v>0</v>
      </c>
      <c r="G34" s="97" t="n">
        <f aca="false">IF(AssignmentTable[[#This Row],[Work]]=0,0,AssignmentTable[[#This Row],[Work]]*IFERROR(INDEX(res_Rate,MATCH(AssignmentTable[[#This Row],[Resource]],res_Name,0)),0))</f>
        <v>0</v>
      </c>
      <c r="H3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41" t="n">
        <f aca="false">IF(N(AssignmentTable[[#This Row],[Task UID]])=0,0,IFERROR(MATCH(AssignmentTable[[#This Row],[Task UID]],tsk_UID,0),-1))</f>
        <v>0</v>
      </c>
      <c r="J34" s="41" t="n">
        <f aca="false">IF(AND(AssignmentTable[[#This Row],[_TaskPos]]&gt;0,AssignmentTable[[#This Row],[Resource]]&lt;&gt;"",AssignmentTable[[#This Row],[Check]]=""),1,0)</f>
        <v>0</v>
      </c>
      <c r="K34" s="41" t="str">
        <f aca="false">IF(AssignmentTable[[#This Row],[_Valid]]=1,AssignmentTable[[#This Row],[Task UID]]*1000+COUNTIFS(AssignmentTable[[#Headers],[Task UID]]:AssignmentTable[[#This Row],[Task UID]],AssignmentTable[[#This Row],[Task UID]],AssignmentTable[[#Headers],[_Valid]]:AssignmentTable[[#This Row],[_Valid]],1),"")</f>
        <v/>
      </c>
      <c r="L34" s="41" t="str">
        <f aca="false">IF(AssignmentTable[[#This Row],[_Valid]]=1,AssignmentTable[[#This Row],[Resource]]&amp;IF(OR(AssignmentTable[[#This Row],[Units]]="",AssignmentTable[[#This Row],[Units]]=1),"","["&amp;ROUND(AssignmentTable[[#This Row],[Units]]*100,0)&amp;"%]"),"")</f>
        <v/>
      </c>
      <c r="M34" s="41" t="n">
        <f aca="false">IF(AssignmentTable[[#This Row],[_Valid]]=1,N(INDEX(tsk_StartWD,AssignmentTable[[#This Row],[_TaskPos]])),0)</f>
        <v>0</v>
      </c>
      <c r="N34" s="41" t="n">
        <f aca="false">IF(AssignmentTable[[#This Row],[_Valid]]=1,N(INDEX(tsk_FinishWD,AssignmentTable[[#This Row],[_TaskPos]])),0)</f>
        <v>0</v>
      </c>
      <c r="O34" s="41" t="n">
        <f aca="false">IF(OR(AssignmentTable[[#This Row],[Work]]=0,AssignmentTable[[#This Row],[_FinishWD]]=0),0,AssignmentTable[[#This Row],[Work]]/(AssignmentTable[[#This Row],[_FinishWD]]-AssignmentTable[[#This Row],[_StartWD]]+1))</f>
        <v>0</v>
      </c>
      <c r="P34" s="41" t="n">
        <f aca="false">AssignmentTable[[#This Row],[_WorkPerWD]]*MAX(0,AssignmentTable[[#This Row],[_StartWD]]-1)</f>
        <v>0</v>
      </c>
      <c r="Q34" s="41" t="n">
        <f aca="false">IF(AssignmentTable[[#This Row],[_Valid]]=1,AssignmentTable[[#This Row],[Work]]*N(INDEX(tsk_LeafProgress,AssignmentTable[[#This Row],[_TaskPos]])),0)</f>
        <v>0</v>
      </c>
      <c r="R34" s="41" t="n">
        <f aca="false">IF(NOT(AssignmentTable[[#This Row],[_Valid]]=1),0,IF(N(INDEX(tsk_LeafTotalCost,AssignmentTable[[#This Row],[_TaskPos]]))=0,0,N(INDEX(tsk_LeafAC,AssignmentTable[[#This Row],[_TaskPos]]))*AssignmentTable[[#This Row],[Cost]]/INDEX(tsk_LeafTotalCost,AssignmentTable[[#This Row],[_TaskPos]])))</f>
        <v>0</v>
      </c>
      <c r="S34" s="41" t="n">
        <f aca="false">IF(NOT(AssignmentTable[[#This Row],[_Valid]]=1),0,IF(N(INDEX(tsk_LateKey,AssignmentTable[[#This Row],[_TaskPos]]))&gt;0,1,0))</f>
        <v>0</v>
      </c>
      <c r="T34" s="41" t="n">
        <f aca="false">IF(NOT(AssignmentTable[[#This Row],[_Valid]]=1),0,IF(INDEX(tsk_Critical,AssignmentTable[[#This Row],[_TaskPos]])="Yes",1,0))</f>
        <v>0</v>
      </c>
      <c r="U3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29"/>
      <c r="C35" s="24" t="str">
        <f aca="false">IF(AssignmentTable[[#This Row],[_TaskPos]]&lt;=0,"",INDEX(tsk_Name,AssignmentTable[[#This Row],[_TaskPos]])&amp;"")</f>
        <v/>
      </c>
      <c r="D35" s="30"/>
      <c r="E35" s="80"/>
      <c r="F35" s="96" t="n">
        <f aca="false">IF(AssignmentTable[[#This Row],[_Valid]]=1,N(INDEX(tsk_Duration,AssignmentTable[[#This Row],[_TaskPos]]))*HoursPerDay*IF(AssignmentTable[[#This Row],[Units]]="",DefaultUnits,AssignmentTable[[#This Row],[Units]]),0)</f>
        <v>0</v>
      </c>
      <c r="G35" s="97" t="n">
        <f aca="false">IF(AssignmentTable[[#This Row],[Work]]=0,0,AssignmentTable[[#This Row],[Work]]*IFERROR(INDEX(res_Rate,MATCH(AssignmentTable[[#This Row],[Resource]],res_Name,0)),0))</f>
        <v>0</v>
      </c>
      <c r="H3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41" t="n">
        <f aca="false">IF(N(AssignmentTable[[#This Row],[Task UID]])=0,0,IFERROR(MATCH(AssignmentTable[[#This Row],[Task UID]],tsk_UID,0),-1))</f>
        <v>0</v>
      </c>
      <c r="J35" s="41" t="n">
        <f aca="false">IF(AND(AssignmentTable[[#This Row],[_TaskPos]]&gt;0,AssignmentTable[[#This Row],[Resource]]&lt;&gt;"",AssignmentTable[[#This Row],[Check]]=""),1,0)</f>
        <v>0</v>
      </c>
      <c r="K35" s="41" t="str">
        <f aca="false">IF(AssignmentTable[[#This Row],[_Valid]]=1,AssignmentTable[[#This Row],[Task UID]]*1000+COUNTIFS(AssignmentTable[[#Headers],[Task UID]]:AssignmentTable[[#This Row],[Task UID]],AssignmentTable[[#This Row],[Task UID]],AssignmentTable[[#Headers],[_Valid]]:AssignmentTable[[#This Row],[_Valid]],1),"")</f>
        <v/>
      </c>
      <c r="L35" s="41" t="str">
        <f aca="false">IF(AssignmentTable[[#This Row],[_Valid]]=1,AssignmentTable[[#This Row],[Resource]]&amp;IF(OR(AssignmentTable[[#This Row],[Units]]="",AssignmentTable[[#This Row],[Units]]=1),"","["&amp;ROUND(AssignmentTable[[#This Row],[Units]]*100,0)&amp;"%]"),"")</f>
        <v/>
      </c>
      <c r="M35" s="41" t="n">
        <f aca="false">IF(AssignmentTable[[#This Row],[_Valid]]=1,N(INDEX(tsk_StartWD,AssignmentTable[[#This Row],[_TaskPos]])),0)</f>
        <v>0</v>
      </c>
      <c r="N35" s="41" t="n">
        <f aca="false">IF(AssignmentTable[[#This Row],[_Valid]]=1,N(INDEX(tsk_FinishWD,AssignmentTable[[#This Row],[_TaskPos]])),0)</f>
        <v>0</v>
      </c>
      <c r="O35" s="41" t="n">
        <f aca="false">IF(OR(AssignmentTable[[#This Row],[Work]]=0,AssignmentTable[[#This Row],[_FinishWD]]=0),0,AssignmentTable[[#This Row],[Work]]/(AssignmentTable[[#This Row],[_FinishWD]]-AssignmentTable[[#This Row],[_StartWD]]+1))</f>
        <v>0</v>
      </c>
      <c r="P35" s="41" t="n">
        <f aca="false">AssignmentTable[[#This Row],[_WorkPerWD]]*MAX(0,AssignmentTable[[#This Row],[_StartWD]]-1)</f>
        <v>0</v>
      </c>
      <c r="Q35" s="41" t="n">
        <f aca="false">IF(AssignmentTable[[#This Row],[_Valid]]=1,AssignmentTable[[#This Row],[Work]]*N(INDEX(tsk_LeafProgress,AssignmentTable[[#This Row],[_TaskPos]])),0)</f>
        <v>0</v>
      </c>
      <c r="R35" s="41" t="n">
        <f aca="false">IF(NOT(AssignmentTable[[#This Row],[_Valid]]=1),0,IF(N(INDEX(tsk_LeafTotalCost,AssignmentTable[[#This Row],[_TaskPos]]))=0,0,N(INDEX(tsk_LeafAC,AssignmentTable[[#This Row],[_TaskPos]]))*AssignmentTable[[#This Row],[Cost]]/INDEX(tsk_LeafTotalCost,AssignmentTable[[#This Row],[_TaskPos]])))</f>
        <v>0</v>
      </c>
      <c r="S35" s="41" t="n">
        <f aca="false">IF(NOT(AssignmentTable[[#This Row],[_Valid]]=1),0,IF(N(INDEX(tsk_LateKey,AssignmentTable[[#This Row],[_TaskPos]]))&gt;0,1,0))</f>
        <v>0</v>
      </c>
      <c r="T35" s="41" t="n">
        <f aca="false">IF(NOT(AssignmentTable[[#This Row],[_Valid]]=1),0,IF(INDEX(tsk_Critical,AssignmentTable[[#This Row],[_TaskPos]])="Yes",1,0))</f>
        <v>0</v>
      </c>
      <c r="U3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29"/>
      <c r="C36" s="24" t="str">
        <f aca="false">IF(AssignmentTable[[#This Row],[_TaskPos]]&lt;=0,"",INDEX(tsk_Name,AssignmentTable[[#This Row],[_TaskPos]])&amp;"")</f>
        <v/>
      </c>
      <c r="D36" s="30"/>
      <c r="E36" s="80"/>
      <c r="F36" s="96" t="n">
        <f aca="false">IF(AssignmentTable[[#This Row],[_Valid]]=1,N(INDEX(tsk_Duration,AssignmentTable[[#This Row],[_TaskPos]]))*HoursPerDay*IF(AssignmentTable[[#This Row],[Units]]="",DefaultUnits,AssignmentTable[[#This Row],[Units]]),0)</f>
        <v>0</v>
      </c>
      <c r="G36" s="97" t="n">
        <f aca="false">IF(AssignmentTable[[#This Row],[Work]]=0,0,AssignmentTable[[#This Row],[Work]]*IFERROR(INDEX(res_Rate,MATCH(AssignmentTable[[#This Row],[Resource]],res_Name,0)),0))</f>
        <v>0</v>
      </c>
      <c r="H3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41" t="n">
        <f aca="false">IF(N(AssignmentTable[[#This Row],[Task UID]])=0,0,IFERROR(MATCH(AssignmentTable[[#This Row],[Task UID]],tsk_UID,0),-1))</f>
        <v>0</v>
      </c>
      <c r="J36" s="41" t="n">
        <f aca="false">IF(AND(AssignmentTable[[#This Row],[_TaskPos]]&gt;0,AssignmentTable[[#This Row],[Resource]]&lt;&gt;"",AssignmentTable[[#This Row],[Check]]=""),1,0)</f>
        <v>0</v>
      </c>
      <c r="K36" s="41" t="str">
        <f aca="false">IF(AssignmentTable[[#This Row],[_Valid]]=1,AssignmentTable[[#This Row],[Task UID]]*1000+COUNTIFS(AssignmentTable[[#Headers],[Task UID]]:AssignmentTable[[#This Row],[Task UID]],AssignmentTable[[#This Row],[Task UID]],AssignmentTable[[#Headers],[_Valid]]:AssignmentTable[[#This Row],[_Valid]],1),"")</f>
        <v/>
      </c>
      <c r="L36" s="41" t="str">
        <f aca="false">IF(AssignmentTable[[#This Row],[_Valid]]=1,AssignmentTable[[#This Row],[Resource]]&amp;IF(OR(AssignmentTable[[#This Row],[Units]]="",AssignmentTable[[#This Row],[Units]]=1),"","["&amp;ROUND(AssignmentTable[[#This Row],[Units]]*100,0)&amp;"%]"),"")</f>
        <v/>
      </c>
      <c r="M36" s="41" t="n">
        <f aca="false">IF(AssignmentTable[[#This Row],[_Valid]]=1,N(INDEX(tsk_StartWD,AssignmentTable[[#This Row],[_TaskPos]])),0)</f>
        <v>0</v>
      </c>
      <c r="N36" s="41" t="n">
        <f aca="false">IF(AssignmentTable[[#This Row],[_Valid]]=1,N(INDEX(tsk_FinishWD,AssignmentTable[[#This Row],[_TaskPos]])),0)</f>
        <v>0</v>
      </c>
      <c r="O36" s="41" t="n">
        <f aca="false">IF(OR(AssignmentTable[[#This Row],[Work]]=0,AssignmentTable[[#This Row],[_FinishWD]]=0),0,AssignmentTable[[#This Row],[Work]]/(AssignmentTable[[#This Row],[_FinishWD]]-AssignmentTable[[#This Row],[_StartWD]]+1))</f>
        <v>0</v>
      </c>
      <c r="P36" s="41" t="n">
        <f aca="false">AssignmentTable[[#This Row],[_WorkPerWD]]*MAX(0,AssignmentTable[[#This Row],[_StartWD]]-1)</f>
        <v>0</v>
      </c>
      <c r="Q36" s="41" t="n">
        <f aca="false">IF(AssignmentTable[[#This Row],[_Valid]]=1,AssignmentTable[[#This Row],[Work]]*N(INDEX(tsk_LeafProgress,AssignmentTable[[#This Row],[_TaskPos]])),0)</f>
        <v>0</v>
      </c>
      <c r="R36" s="41" t="n">
        <f aca="false">IF(NOT(AssignmentTable[[#This Row],[_Valid]]=1),0,IF(N(INDEX(tsk_LeafTotalCost,AssignmentTable[[#This Row],[_TaskPos]]))=0,0,N(INDEX(tsk_LeafAC,AssignmentTable[[#This Row],[_TaskPos]]))*AssignmentTable[[#This Row],[Cost]]/INDEX(tsk_LeafTotalCost,AssignmentTable[[#This Row],[_TaskPos]])))</f>
        <v>0</v>
      </c>
      <c r="S36" s="41" t="n">
        <f aca="false">IF(NOT(AssignmentTable[[#This Row],[_Valid]]=1),0,IF(N(INDEX(tsk_LateKey,AssignmentTable[[#This Row],[_TaskPos]]))&gt;0,1,0))</f>
        <v>0</v>
      </c>
      <c r="T36" s="41" t="n">
        <f aca="false">IF(NOT(AssignmentTable[[#This Row],[_Valid]]=1),0,IF(INDEX(tsk_Critical,AssignmentTable[[#This Row],[_TaskPos]])="Yes",1,0))</f>
        <v>0</v>
      </c>
      <c r="U3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29"/>
      <c r="C37" s="24" t="str">
        <f aca="false">IF(AssignmentTable[[#This Row],[_TaskPos]]&lt;=0,"",INDEX(tsk_Name,AssignmentTable[[#This Row],[_TaskPos]])&amp;"")</f>
        <v/>
      </c>
      <c r="D37" s="30"/>
      <c r="E37" s="80"/>
      <c r="F37" s="96" t="n">
        <f aca="false">IF(AssignmentTable[[#This Row],[_Valid]]=1,N(INDEX(tsk_Duration,AssignmentTable[[#This Row],[_TaskPos]]))*HoursPerDay*IF(AssignmentTable[[#This Row],[Units]]="",DefaultUnits,AssignmentTable[[#This Row],[Units]]),0)</f>
        <v>0</v>
      </c>
      <c r="G37" s="97" t="n">
        <f aca="false">IF(AssignmentTable[[#This Row],[Work]]=0,0,AssignmentTable[[#This Row],[Work]]*IFERROR(INDEX(res_Rate,MATCH(AssignmentTable[[#This Row],[Resource]],res_Name,0)),0))</f>
        <v>0</v>
      </c>
      <c r="H3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41" t="n">
        <f aca="false">IF(N(AssignmentTable[[#This Row],[Task UID]])=0,0,IFERROR(MATCH(AssignmentTable[[#This Row],[Task UID]],tsk_UID,0),-1))</f>
        <v>0</v>
      </c>
      <c r="J37" s="41" t="n">
        <f aca="false">IF(AND(AssignmentTable[[#This Row],[_TaskPos]]&gt;0,AssignmentTable[[#This Row],[Resource]]&lt;&gt;"",AssignmentTable[[#This Row],[Check]]=""),1,0)</f>
        <v>0</v>
      </c>
      <c r="K37" s="41" t="str">
        <f aca="false">IF(AssignmentTable[[#This Row],[_Valid]]=1,AssignmentTable[[#This Row],[Task UID]]*1000+COUNTIFS(AssignmentTable[[#Headers],[Task UID]]:AssignmentTable[[#This Row],[Task UID]],AssignmentTable[[#This Row],[Task UID]],AssignmentTable[[#Headers],[_Valid]]:AssignmentTable[[#This Row],[_Valid]],1),"")</f>
        <v/>
      </c>
      <c r="L37" s="41" t="str">
        <f aca="false">IF(AssignmentTable[[#This Row],[_Valid]]=1,AssignmentTable[[#This Row],[Resource]]&amp;IF(OR(AssignmentTable[[#This Row],[Units]]="",AssignmentTable[[#This Row],[Units]]=1),"","["&amp;ROUND(AssignmentTable[[#This Row],[Units]]*100,0)&amp;"%]"),"")</f>
        <v/>
      </c>
      <c r="M37" s="41" t="n">
        <f aca="false">IF(AssignmentTable[[#This Row],[_Valid]]=1,N(INDEX(tsk_StartWD,AssignmentTable[[#This Row],[_TaskPos]])),0)</f>
        <v>0</v>
      </c>
      <c r="N37" s="41" t="n">
        <f aca="false">IF(AssignmentTable[[#This Row],[_Valid]]=1,N(INDEX(tsk_FinishWD,AssignmentTable[[#This Row],[_TaskPos]])),0)</f>
        <v>0</v>
      </c>
      <c r="O37" s="41" t="n">
        <f aca="false">IF(OR(AssignmentTable[[#This Row],[Work]]=0,AssignmentTable[[#This Row],[_FinishWD]]=0),0,AssignmentTable[[#This Row],[Work]]/(AssignmentTable[[#This Row],[_FinishWD]]-AssignmentTable[[#This Row],[_StartWD]]+1))</f>
        <v>0</v>
      </c>
      <c r="P37" s="41" t="n">
        <f aca="false">AssignmentTable[[#This Row],[_WorkPerWD]]*MAX(0,AssignmentTable[[#This Row],[_StartWD]]-1)</f>
        <v>0</v>
      </c>
      <c r="Q37" s="41" t="n">
        <f aca="false">IF(AssignmentTable[[#This Row],[_Valid]]=1,AssignmentTable[[#This Row],[Work]]*N(INDEX(tsk_LeafProgress,AssignmentTable[[#This Row],[_TaskPos]])),0)</f>
        <v>0</v>
      </c>
      <c r="R37" s="41" t="n">
        <f aca="false">IF(NOT(AssignmentTable[[#This Row],[_Valid]]=1),0,IF(N(INDEX(tsk_LeafTotalCost,AssignmentTable[[#This Row],[_TaskPos]]))=0,0,N(INDEX(tsk_LeafAC,AssignmentTable[[#This Row],[_TaskPos]]))*AssignmentTable[[#This Row],[Cost]]/INDEX(tsk_LeafTotalCost,AssignmentTable[[#This Row],[_TaskPos]])))</f>
        <v>0</v>
      </c>
      <c r="S37" s="41" t="n">
        <f aca="false">IF(NOT(AssignmentTable[[#This Row],[_Valid]]=1),0,IF(N(INDEX(tsk_LateKey,AssignmentTable[[#This Row],[_TaskPos]]))&gt;0,1,0))</f>
        <v>0</v>
      </c>
      <c r="T37" s="41" t="n">
        <f aca="false">IF(NOT(AssignmentTable[[#This Row],[_Valid]]=1),0,IF(INDEX(tsk_Critical,AssignmentTable[[#This Row],[_TaskPos]])="Yes",1,0))</f>
        <v>0</v>
      </c>
      <c r="U3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29"/>
      <c r="C38" s="24" t="str">
        <f aca="false">IF(AssignmentTable[[#This Row],[_TaskPos]]&lt;=0,"",INDEX(tsk_Name,AssignmentTable[[#This Row],[_TaskPos]])&amp;"")</f>
        <v/>
      </c>
      <c r="D38" s="30"/>
      <c r="E38" s="80"/>
      <c r="F38" s="96" t="n">
        <f aca="false">IF(AssignmentTable[[#This Row],[_Valid]]=1,N(INDEX(tsk_Duration,AssignmentTable[[#This Row],[_TaskPos]]))*HoursPerDay*IF(AssignmentTable[[#This Row],[Units]]="",DefaultUnits,AssignmentTable[[#This Row],[Units]]),0)</f>
        <v>0</v>
      </c>
      <c r="G38" s="97" t="n">
        <f aca="false">IF(AssignmentTable[[#This Row],[Work]]=0,0,AssignmentTable[[#This Row],[Work]]*IFERROR(INDEX(res_Rate,MATCH(AssignmentTable[[#This Row],[Resource]],res_Name,0)),0))</f>
        <v>0</v>
      </c>
      <c r="H3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41" t="n">
        <f aca="false">IF(N(AssignmentTable[[#This Row],[Task UID]])=0,0,IFERROR(MATCH(AssignmentTable[[#This Row],[Task UID]],tsk_UID,0),-1))</f>
        <v>0</v>
      </c>
      <c r="J38" s="41" t="n">
        <f aca="false">IF(AND(AssignmentTable[[#This Row],[_TaskPos]]&gt;0,AssignmentTable[[#This Row],[Resource]]&lt;&gt;"",AssignmentTable[[#This Row],[Check]]=""),1,0)</f>
        <v>0</v>
      </c>
      <c r="K38" s="41" t="str">
        <f aca="false">IF(AssignmentTable[[#This Row],[_Valid]]=1,AssignmentTable[[#This Row],[Task UID]]*1000+COUNTIFS(AssignmentTable[[#Headers],[Task UID]]:AssignmentTable[[#This Row],[Task UID]],AssignmentTable[[#This Row],[Task UID]],AssignmentTable[[#Headers],[_Valid]]:AssignmentTable[[#This Row],[_Valid]],1),"")</f>
        <v/>
      </c>
      <c r="L38" s="41" t="str">
        <f aca="false">IF(AssignmentTable[[#This Row],[_Valid]]=1,AssignmentTable[[#This Row],[Resource]]&amp;IF(OR(AssignmentTable[[#This Row],[Units]]="",AssignmentTable[[#This Row],[Units]]=1),"","["&amp;ROUND(AssignmentTable[[#This Row],[Units]]*100,0)&amp;"%]"),"")</f>
        <v/>
      </c>
      <c r="M38" s="41" t="n">
        <f aca="false">IF(AssignmentTable[[#This Row],[_Valid]]=1,N(INDEX(tsk_StartWD,AssignmentTable[[#This Row],[_TaskPos]])),0)</f>
        <v>0</v>
      </c>
      <c r="N38" s="41" t="n">
        <f aca="false">IF(AssignmentTable[[#This Row],[_Valid]]=1,N(INDEX(tsk_FinishWD,AssignmentTable[[#This Row],[_TaskPos]])),0)</f>
        <v>0</v>
      </c>
      <c r="O38" s="41" t="n">
        <f aca="false">IF(OR(AssignmentTable[[#This Row],[Work]]=0,AssignmentTable[[#This Row],[_FinishWD]]=0),0,AssignmentTable[[#This Row],[Work]]/(AssignmentTable[[#This Row],[_FinishWD]]-AssignmentTable[[#This Row],[_StartWD]]+1))</f>
        <v>0</v>
      </c>
      <c r="P38" s="41" t="n">
        <f aca="false">AssignmentTable[[#This Row],[_WorkPerWD]]*MAX(0,AssignmentTable[[#This Row],[_StartWD]]-1)</f>
        <v>0</v>
      </c>
      <c r="Q38" s="41" t="n">
        <f aca="false">IF(AssignmentTable[[#This Row],[_Valid]]=1,AssignmentTable[[#This Row],[Work]]*N(INDEX(tsk_LeafProgress,AssignmentTable[[#This Row],[_TaskPos]])),0)</f>
        <v>0</v>
      </c>
      <c r="R38" s="41" t="n">
        <f aca="false">IF(NOT(AssignmentTable[[#This Row],[_Valid]]=1),0,IF(N(INDEX(tsk_LeafTotalCost,AssignmentTable[[#This Row],[_TaskPos]]))=0,0,N(INDEX(tsk_LeafAC,AssignmentTable[[#This Row],[_TaskPos]]))*AssignmentTable[[#This Row],[Cost]]/INDEX(tsk_LeafTotalCost,AssignmentTable[[#This Row],[_TaskPos]])))</f>
        <v>0</v>
      </c>
      <c r="S38" s="41" t="n">
        <f aca="false">IF(NOT(AssignmentTable[[#This Row],[_Valid]]=1),0,IF(N(INDEX(tsk_LateKey,AssignmentTable[[#This Row],[_TaskPos]]))&gt;0,1,0))</f>
        <v>0</v>
      </c>
      <c r="T38" s="41" t="n">
        <f aca="false">IF(NOT(AssignmentTable[[#This Row],[_Valid]]=1),0,IF(INDEX(tsk_Critical,AssignmentTable[[#This Row],[_TaskPos]])="Yes",1,0))</f>
        <v>0</v>
      </c>
      <c r="U3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29"/>
      <c r="C39" s="24" t="str">
        <f aca="false">IF(AssignmentTable[[#This Row],[_TaskPos]]&lt;=0,"",INDEX(tsk_Name,AssignmentTable[[#This Row],[_TaskPos]])&amp;"")</f>
        <v/>
      </c>
      <c r="D39" s="30"/>
      <c r="E39" s="80"/>
      <c r="F39" s="96" t="n">
        <f aca="false">IF(AssignmentTable[[#This Row],[_Valid]]=1,N(INDEX(tsk_Duration,AssignmentTable[[#This Row],[_TaskPos]]))*HoursPerDay*IF(AssignmentTable[[#This Row],[Units]]="",DefaultUnits,AssignmentTable[[#This Row],[Units]]),0)</f>
        <v>0</v>
      </c>
      <c r="G39" s="97" t="n">
        <f aca="false">IF(AssignmentTable[[#This Row],[Work]]=0,0,AssignmentTable[[#This Row],[Work]]*IFERROR(INDEX(res_Rate,MATCH(AssignmentTable[[#This Row],[Resource]],res_Name,0)),0))</f>
        <v>0</v>
      </c>
      <c r="H3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41" t="n">
        <f aca="false">IF(N(AssignmentTable[[#This Row],[Task UID]])=0,0,IFERROR(MATCH(AssignmentTable[[#This Row],[Task UID]],tsk_UID,0),-1))</f>
        <v>0</v>
      </c>
      <c r="J39" s="41" t="n">
        <f aca="false">IF(AND(AssignmentTable[[#This Row],[_TaskPos]]&gt;0,AssignmentTable[[#This Row],[Resource]]&lt;&gt;"",AssignmentTable[[#This Row],[Check]]=""),1,0)</f>
        <v>0</v>
      </c>
      <c r="K39" s="41" t="str">
        <f aca="false">IF(AssignmentTable[[#This Row],[_Valid]]=1,AssignmentTable[[#This Row],[Task UID]]*1000+COUNTIFS(AssignmentTable[[#Headers],[Task UID]]:AssignmentTable[[#This Row],[Task UID]],AssignmentTable[[#This Row],[Task UID]],AssignmentTable[[#Headers],[_Valid]]:AssignmentTable[[#This Row],[_Valid]],1),"")</f>
        <v/>
      </c>
      <c r="L39" s="41" t="str">
        <f aca="false">IF(AssignmentTable[[#This Row],[_Valid]]=1,AssignmentTable[[#This Row],[Resource]]&amp;IF(OR(AssignmentTable[[#This Row],[Units]]="",AssignmentTable[[#This Row],[Units]]=1),"","["&amp;ROUND(AssignmentTable[[#This Row],[Units]]*100,0)&amp;"%]"),"")</f>
        <v/>
      </c>
      <c r="M39" s="41" t="n">
        <f aca="false">IF(AssignmentTable[[#This Row],[_Valid]]=1,N(INDEX(tsk_StartWD,AssignmentTable[[#This Row],[_TaskPos]])),0)</f>
        <v>0</v>
      </c>
      <c r="N39" s="41" t="n">
        <f aca="false">IF(AssignmentTable[[#This Row],[_Valid]]=1,N(INDEX(tsk_FinishWD,AssignmentTable[[#This Row],[_TaskPos]])),0)</f>
        <v>0</v>
      </c>
      <c r="O39" s="41" t="n">
        <f aca="false">IF(OR(AssignmentTable[[#This Row],[Work]]=0,AssignmentTable[[#This Row],[_FinishWD]]=0),0,AssignmentTable[[#This Row],[Work]]/(AssignmentTable[[#This Row],[_FinishWD]]-AssignmentTable[[#This Row],[_StartWD]]+1))</f>
        <v>0</v>
      </c>
      <c r="P39" s="41" t="n">
        <f aca="false">AssignmentTable[[#This Row],[_WorkPerWD]]*MAX(0,AssignmentTable[[#This Row],[_StartWD]]-1)</f>
        <v>0</v>
      </c>
      <c r="Q39" s="41" t="n">
        <f aca="false">IF(AssignmentTable[[#This Row],[_Valid]]=1,AssignmentTable[[#This Row],[Work]]*N(INDEX(tsk_LeafProgress,AssignmentTable[[#This Row],[_TaskPos]])),0)</f>
        <v>0</v>
      </c>
      <c r="R39" s="41" t="n">
        <f aca="false">IF(NOT(AssignmentTable[[#This Row],[_Valid]]=1),0,IF(N(INDEX(tsk_LeafTotalCost,AssignmentTable[[#This Row],[_TaskPos]]))=0,0,N(INDEX(tsk_LeafAC,AssignmentTable[[#This Row],[_TaskPos]]))*AssignmentTable[[#This Row],[Cost]]/INDEX(tsk_LeafTotalCost,AssignmentTable[[#This Row],[_TaskPos]])))</f>
        <v>0</v>
      </c>
      <c r="S39" s="41" t="n">
        <f aca="false">IF(NOT(AssignmentTable[[#This Row],[_Valid]]=1),0,IF(N(INDEX(tsk_LateKey,AssignmentTable[[#This Row],[_TaskPos]]))&gt;0,1,0))</f>
        <v>0</v>
      </c>
      <c r="T39" s="41" t="n">
        <f aca="false">IF(NOT(AssignmentTable[[#This Row],[_Valid]]=1),0,IF(INDEX(tsk_Critical,AssignmentTable[[#This Row],[_TaskPos]])="Yes",1,0))</f>
        <v>0</v>
      </c>
      <c r="U3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29"/>
      <c r="C40" s="24" t="str">
        <f aca="false">IF(AssignmentTable[[#This Row],[_TaskPos]]&lt;=0,"",INDEX(tsk_Name,AssignmentTable[[#This Row],[_TaskPos]])&amp;"")</f>
        <v/>
      </c>
      <c r="D40" s="30"/>
      <c r="E40" s="80"/>
      <c r="F40" s="96" t="n">
        <f aca="false">IF(AssignmentTable[[#This Row],[_Valid]]=1,N(INDEX(tsk_Duration,AssignmentTable[[#This Row],[_TaskPos]]))*HoursPerDay*IF(AssignmentTable[[#This Row],[Units]]="",DefaultUnits,AssignmentTable[[#This Row],[Units]]),0)</f>
        <v>0</v>
      </c>
      <c r="G40" s="97" t="n">
        <f aca="false">IF(AssignmentTable[[#This Row],[Work]]=0,0,AssignmentTable[[#This Row],[Work]]*IFERROR(INDEX(res_Rate,MATCH(AssignmentTable[[#This Row],[Resource]],res_Name,0)),0))</f>
        <v>0</v>
      </c>
      <c r="H4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41" t="n">
        <f aca="false">IF(N(AssignmentTable[[#This Row],[Task UID]])=0,0,IFERROR(MATCH(AssignmentTable[[#This Row],[Task UID]],tsk_UID,0),-1))</f>
        <v>0</v>
      </c>
      <c r="J40" s="41" t="n">
        <f aca="false">IF(AND(AssignmentTable[[#This Row],[_TaskPos]]&gt;0,AssignmentTable[[#This Row],[Resource]]&lt;&gt;"",AssignmentTable[[#This Row],[Check]]=""),1,0)</f>
        <v>0</v>
      </c>
      <c r="K40" s="41" t="str">
        <f aca="false">IF(AssignmentTable[[#This Row],[_Valid]]=1,AssignmentTable[[#This Row],[Task UID]]*1000+COUNTIFS(AssignmentTable[[#Headers],[Task UID]]:AssignmentTable[[#This Row],[Task UID]],AssignmentTable[[#This Row],[Task UID]],AssignmentTable[[#Headers],[_Valid]]:AssignmentTable[[#This Row],[_Valid]],1),"")</f>
        <v/>
      </c>
      <c r="L40" s="41" t="str">
        <f aca="false">IF(AssignmentTable[[#This Row],[_Valid]]=1,AssignmentTable[[#This Row],[Resource]]&amp;IF(OR(AssignmentTable[[#This Row],[Units]]="",AssignmentTable[[#This Row],[Units]]=1),"","["&amp;ROUND(AssignmentTable[[#This Row],[Units]]*100,0)&amp;"%]"),"")</f>
        <v/>
      </c>
      <c r="M40" s="41" t="n">
        <f aca="false">IF(AssignmentTable[[#This Row],[_Valid]]=1,N(INDEX(tsk_StartWD,AssignmentTable[[#This Row],[_TaskPos]])),0)</f>
        <v>0</v>
      </c>
      <c r="N40" s="41" t="n">
        <f aca="false">IF(AssignmentTable[[#This Row],[_Valid]]=1,N(INDEX(tsk_FinishWD,AssignmentTable[[#This Row],[_TaskPos]])),0)</f>
        <v>0</v>
      </c>
      <c r="O40" s="41" t="n">
        <f aca="false">IF(OR(AssignmentTable[[#This Row],[Work]]=0,AssignmentTable[[#This Row],[_FinishWD]]=0),0,AssignmentTable[[#This Row],[Work]]/(AssignmentTable[[#This Row],[_FinishWD]]-AssignmentTable[[#This Row],[_StartWD]]+1))</f>
        <v>0</v>
      </c>
      <c r="P40" s="41" t="n">
        <f aca="false">AssignmentTable[[#This Row],[_WorkPerWD]]*MAX(0,AssignmentTable[[#This Row],[_StartWD]]-1)</f>
        <v>0</v>
      </c>
      <c r="Q40" s="41" t="n">
        <f aca="false">IF(AssignmentTable[[#This Row],[_Valid]]=1,AssignmentTable[[#This Row],[Work]]*N(INDEX(tsk_LeafProgress,AssignmentTable[[#This Row],[_TaskPos]])),0)</f>
        <v>0</v>
      </c>
      <c r="R40" s="41" t="n">
        <f aca="false">IF(NOT(AssignmentTable[[#This Row],[_Valid]]=1),0,IF(N(INDEX(tsk_LeafTotalCost,AssignmentTable[[#This Row],[_TaskPos]]))=0,0,N(INDEX(tsk_LeafAC,AssignmentTable[[#This Row],[_TaskPos]]))*AssignmentTable[[#This Row],[Cost]]/INDEX(tsk_LeafTotalCost,AssignmentTable[[#This Row],[_TaskPos]])))</f>
        <v>0</v>
      </c>
      <c r="S40" s="41" t="n">
        <f aca="false">IF(NOT(AssignmentTable[[#This Row],[_Valid]]=1),0,IF(N(INDEX(tsk_LateKey,AssignmentTable[[#This Row],[_TaskPos]]))&gt;0,1,0))</f>
        <v>0</v>
      </c>
      <c r="T40" s="41" t="n">
        <f aca="false">IF(NOT(AssignmentTable[[#This Row],[_Valid]]=1),0,IF(INDEX(tsk_Critical,AssignmentTable[[#This Row],[_TaskPos]])="Yes",1,0))</f>
        <v>0</v>
      </c>
      <c r="U4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29"/>
      <c r="C41" s="24" t="str">
        <f aca="false">IF(AssignmentTable[[#This Row],[_TaskPos]]&lt;=0,"",INDEX(tsk_Name,AssignmentTable[[#This Row],[_TaskPos]])&amp;"")</f>
        <v/>
      </c>
      <c r="D41" s="30"/>
      <c r="E41" s="80"/>
      <c r="F41" s="96" t="n">
        <f aca="false">IF(AssignmentTable[[#This Row],[_Valid]]=1,N(INDEX(tsk_Duration,AssignmentTable[[#This Row],[_TaskPos]]))*HoursPerDay*IF(AssignmentTable[[#This Row],[Units]]="",DefaultUnits,AssignmentTable[[#This Row],[Units]]),0)</f>
        <v>0</v>
      </c>
      <c r="G41" s="97" t="n">
        <f aca="false">IF(AssignmentTable[[#This Row],[Work]]=0,0,AssignmentTable[[#This Row],[Work]]*IFERROR(INDEX(res_Rate,MATCH(AssignmentTable[[#This Row],[Resource]],res_Name,0)),0))</f>
        <v>0</v>
      </c>
      <c r="H4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41" t="n">
        <f aca="false">IF(N(AssignmentTable[[#This Row],[Task UID]])=0,0,IFERROR(MATCH(AssignmentTable[[#This Row],[Task UID]],tsk_UID,0),-1))</f>
        <v>0</v>
      </c>
      <c r="J41" s="41" t="n">
        <f aca="false">IF(AND(AssignmentTable[[#This Row],[_TaskPos]]&gt;0,AssignmentTable[[#This Row],[Resource]]&lt;&gt;"",AssignmentTable[[#This Row],[Check]]=""),1,0)</f>
        <v>0</v>
      </c>
      <c r="K41" s="41" t="str">
        <f aca="false">IF(AssignmentTable[[#This Row],[_Valid]]=1,AssignmentTable[[#This Row],[Task UID]]*1000+COUNTIFS(AssignmentTable[[#Headers],[Task UID]]:AssignmentTable[[#This Row],[Task UID]],AssignmentTable[[#This Row],[Task UID]],AssignmentTable[[#Headers],[_Valid]]:AssignmentTable[[#This Row],[_Valid]],1),"")</f>
        <v/>
      </c>
      <c r="L41" s="41" t="str">
        <f aca="false">IF(AssignmentTable[[#This Row],[_Valid]]=1,AssignmentTable[[#This Row],[Resource]]&amp;IF(OR(AssignmentTable[[#This Row],[Units]]="",AssignmentTable[[#This Row],[Units]]=1),"","["&amp;ROUND(AssignmentTable[[#This Row],[Units]]*100,0)&amp;"%]"),"")</f>
        <v/>
      </c>
      <c r="M41" s="41" t="n">
        <f aca="false">IF(AssignmentTable[[#This Row],[_Valid]]=1,N(INDEX(tsk_StartWD,AssignmentTable[[#This Row],[_TaskPos]])),0)</f>
        <v>0</v>
      </c>
      <c r="N41" s="41" t="n">
        <f aca="false">IF(AssignmentTable[[#This Row],[_Valid]]=1,N(INDEX(tsk_FinishWD,AssignmentTable[[#This Row],[_TaskPos]])),0)</f>
        <v>0</v>
      </c>
      <c r="O41" s="41" t="n">
        <f aca="false">IF(OR(AssignmentTable[[#This Row],[Work]]=0,AssignmentTable[[#This Row],[_FinishWD]]=0),0,AssignmentTable[[#This Row],[Work]]/(AssignmentTable[[#This Row],[_FinishWD]]-AssignmentTable[[#This Row],[_StartWD]]+1))</f>
        <v>0</v>
      </c>
      <c r="P41" s="41" t="n">
        <f aca="false">AssignmentTable[[#This Row],[_WorkPerWD]]*MAX(0,AssignmentTable[[#This Row],[_StartWD]]-1)</f>
        <v>0</v>
      </c>
      <c r="Q41" s="41" t="n">
        <f aca="false">IF(AssignmentTable[[#This Row],[_Valid]]=1,AssignmentTable[[#This Row],[Work]]*N(INDEX(tsk_LeafProgress,AssignmentTable[[#This Row],[_TaskPos]])),0)</f>
        <v>0</v>
      </c>
      <c r="R41" s="41" t="n">
        <f aca="false">IF(NOT(AssignmentTable[[#This Row],[_Valid]]=1),0,IF(N(INDEX(tsk_LeafTotalCost,AssignmentTable[[#This Row],[_TaskPos]]))=0,0,N(INDEX(tsk_LeafAC,AssignmentTable[[#This Row],[_TaskPos]]))*AssignmentTable[[#This Row],[Cost]]/INDEX(tsk_LeafTotalCost,AssignmentTable[[#This Row],[_TaskPos]])))</f>
        <v>0</v>
      </c>
      <c r="S41" s="41" t="n">
        <f aca="false">IF(NOT(AssignmentTable[[#This Row],[_Valid]]=1),0,IF(N(INDEX(tsk_LateKey,AssignmentTable[[#This Row],[_TaskPos]]))&gt;0,1,0))</f>
        <v>0</v>
      </c>
      <c r="T41" s="41" t="n">
        <f aca="false">IF(NOT(AssignmentTable[[#This Row],[_Valid]]=1),0,IF(INDEX(tsk_Critical,AssignmentTable[[#This Row],[_TaskPos]])="Yes",1,0))</f>
        <v>0</v>
      </c>
      <c r="U4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29"/>
      <c r="C42" s="24" t="str">
        <f aca="false">IF(AssignmentTable[[#This Row],[_TaskPos]]&lt;=0,"",INDEX(tsk_Name,AssignmentTable[[#This Row],[_TaskPos]])&amp;"")</f>
        <v/>
      </c>
      <c r="D42" s="30"/>
      <c r="E42" s="80"/>
      <c r="F42" s="96" t="n">
        <f aca="false">IF(AssignmentTable[[#This Row],[_Valid]]=1,N(INDEX(tsk_Duration,AssignmentTable[[#This Row],[_TaskPos]]))*HoursPerDay*IF(AssignmentTable[[#This Row],[Units]]="",DefaultUnits,AssignmentTable[[#This Row],[Units]]),0)</f>
        <v>0</v>
      </c>
      <c r="G42" s="97" t="n">
        <f aca="false">IF(AssignmentTable[[#This Row],[Work]]=0,0,AssignmentTable[[#This Row],[Work]]*IFERROR(INDEX(res_Rate,MATCH(AssignmentTable[[#This Row],[Resource]],res_Name,0)),0))</f>
        <v>0</v>
      </c>
      <c r="H4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41" t="n">
        <f aca="false">IF(N(AssignmentTable[[#This Row],[Task UID]])=0,0,IFERROR(MATCH(AssignmentTable[[#This Row],[Task UID]],tsk_UID,0),-1))</f>
        <v>0</v>
      </c>
      <c r="J42" s="41" t="n">
        <f aca="false">IF(AND(AssignmentTable[[#This Row],[_TaskPos]]&gt;0,AssignmentTable[[#This Row],[Resource]]&lt;&gt;"",AssignmentTable[[#This Row],[Check]]=""),1,0)</f>
        <v>0</v>
      </c>
      <c r="K42" s="41" t="str">
        <f aca="false">IF(AssignmentTable[[#This Row],[_Valid]]=1,AssignmentTable[[#This Row],[Task UID]]*1000+COUNTIFS(AssignmentTable[[#Headers],[Task UID]]:AssignmentTable[[#This Row],[Task UID]],AssignmentTable[[#This Row],[Task UID]],AssignmentTable[[#Headers],[_Valid]]:AssignmentTable[[#This Row],[_Valid]],1),"")</f>
        <v/>
      </c>
      <c r="L42" s="41" t="str">
        <f aca="false">IF(AssignmentTable[[#This Row],[_Valid]]=1,AssignmentTable[[#This Row],[Resource]]&amp;IF(OR(AssignmentTable[[#This Row],[Units]]="",AssignmentTable[[#This Row],[Units]]=1),"","["&amp;ROUND(AssignmentTable[[#This Row],[Units]]*100,0)&amp;"%]"),"")</f>
        <v/>
      </c>
      <c r="M42" s="41" t="n">
        <f aca="false">IF(AssignmentTable[[#This Row],[_Valid]]=1,N(INDEX(tsk_StartWD,AssignmentTable[[#This Row],[_TaskPos]])),0)</f>
        <v>0</v>
      </c>
      <c r="N42" s="41" t="n">
        <f aca="false">IF(AssignmentTable[[#This Row],[_Valid]]=1,N(INDEX(tsk_FinishWD,AssignmentTable[[#This Row],[_TaskPos]])),0)</f>
        <v>0</v>
      </c>
      <c r="O42" s="41" t="n">
        <f aca="false">IF(OR(AssignmentTable[[#This Row],[Work]]=0,AssignmentTable[[#This Row],[_FinishWD]]=0),0,AssignmentTable[[#This Row],[Work]]/(AssignmentTable[[#This Row],[_FinishWD]]-AssignmentTable[[#This Row],[_StartWD]]+1))</f>
        <v>0</v>
      </c>
      <c r="P42" s="41" t="n">
        <f aca="false">AssignmentTable[[#This Row],[_WorkPerWD]]*MAX(0,AssignmentTable[[#This Row],[_StartWD]]-1)</f>
        <v>0</v>
      </c>
      <c r="Q42" s="41" t="n">
        <f aca="false">IF(AssignmentTable[[#This Row],[_Valid]]=1,AssignmentTable[[#This Row],[Work]]*N(INDEX(tsk_LeafProgress,AssignmentTable[[#This Row],[_TaskPos]])),0)</f>
        <v>0</v>
      </c>
      <c r="R42" s="41" t="n">
        <f aca="false">IF(NOT(AssignmentTable[[#This Row],[_Valid]]=1),0,IF(N(INDEX(tsk_LeafTotalCost,AssignmentTable[[#This Row],[_TaskPos]]))=0,0,N(INDEX(tsk_LeafAC,AssignmentTable[[#This Row],[_TaskPos]]))*AssignmentTable[[#This Row],[Cost]]/INDEX(tsk_LeafTotalCost,AssignmentTable[[#This Row],[_TaskPos]])))</f>
        <v>0</v>
      </c>
      <c r="S42" s="41" t="n">
        <f aca="false">IF(NOT(AssignmentTable[[#This Row],[_Valid]]=1),0,IF(N(INDEX(tsk_LateKey,AssignmentTable[[#This Row],[_TaskPos]]))&gt;0,1,0))</f>
        <v>0</v>
      </c>
      <c r="T42" s="41" t="n">
        <f aca="false">IF(NOT(AssignmentTable[[#This Row],[_Valid]]=1),0,IF(INDEX(tsk_Critical,AssignmentTable[[#This Row],[_TaskPos]])="Yes",1,0))</f>
        <v>0</v>
      </c>
      <c r="U4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29"/>
      <c r="C43" s="24" t="str">
        <f aca="false">IF(AssignmentTable[[#This Row],[_TaskPos]]&lt;=0,"",INDEX(tsk_Name,AssignmentTable[[#This Row],[_TaskPos]])&amp;"")</f>
        <v/>
      </c>
      <c r="D43" s="30"/>
      <c r="E43" s="80"/>
      <c r="F43" s="96" t="n">
        <f aca="false">IF(AssignmentTable[[#This Row],[_Valid]]=1,N(INDEX(tsk_Duration,AssignmentTable[[#This Row],[_TaskPos]]))*HoursPerDay*IF(AssignmentTable[[#This Row],[Units]]="",DefaultUnits,AssignmentTable[[#This Row],[Units]]),0)</f>
        <v>0</v>
      </c>
      <c r="G43" s="97" t="n">
        <f aca="false">IF(AssignmentTable[[#This Row],[Work]]=0,0,AssignmentTable[[#This Row],[Work]]*IFERROR(INDEX(res_Rate,MATCH(AssignmentTable[[#This Row],[Resource]],res_Name,0)),0))</f>
        <v>0</v>
      </c>
      <c r="H4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41" t="n">
        <f aca="false">IF(N(AssignmentTable[[#This Row],[Task UID]])=0,0,IFERROR(MATCH(AssignmentTable[[#This Row],[Task UID]],tsk_UID,0),-1))</f>
        <v>0</v>
      </c>
      <c r="J43" s="41" t="n">
        <f aca="false">IF(AND(AssignmentTable[[#This Row],[_TaskPos]]&gt;0,AssignmentTable[[#This Row],[Resource]]&lt;&gt;"",AssignmentTable[[#This Row],[Check]]=""),1,0)</f>
        <v>0</v>
      </c>
      <c r="K43" s="41" t="str">
        <f aca="false">IF(AssignmentTable[[#This Row],[_Valid]]=1,AssignmentTable[[#This Row],[Task UID]]*1000+COUNTIFS(AssignmentTable[[#Headers],[Task UID]]:AssignmentTable[[#This Row],[Task UID]],AssignmentTable[[#This Row],[Task UID]],AssignmentTable[[#Headers],[_Valid]]:AssignmentTable[[#This Row],[_Valid]],1),"")</f>
        <v/>
      </c>
      <c r="L43" s="41" t="str">
        <f aca="false">IF(AssignmentTable[[#This Row],[_Valid]]=1,AssignmentTable[[#This Row],[Resource]]&amp;IF(OR(AssignmentTable[[#This Row],[Units]]="",AssignmentTable[[#This Row],[Units]]=1),"","["&amp;ROUND(AssignmentTable[[#This Row],[Units]]*100,0)&amp;"%]"),"")</f>
        <v/>
      </c>
      <c r="M43" s="41" t="n">
        <f aca="false">IF(AssignmentTable[[#This Row],[_Valid]]=1,N(INDEX(tsk_StartWD,AssignmentTable[[#This Row],[_TaskPos]])),0)</f>
        <v>0</v>
      </c>
      <c r="N43" s="41" t="n">
        <f aca="false">IF(AssignmentTable[[#This Row],[_Valid]]=1,N(INDEX(tsk_FinishWD,AssignmentTable[[#This Row],[_TaskPos]])),0)</f>
        <v>0</v>
      </c>
      <c r="O43" s="41" t="n">
        <f aca="false">IF(OR(AssignmentTable[[#This Row],[Work]]=0,AssignmentTable[[#This Row],[_FinishWD]]=0),0,AssignmentTable[[#This Row],[Work]]/(AssignmentTable[[#This Row],[_FinishWD]]-AssignmentTable[[#This Row],[_StartWD]]+1))</f>
        <v>0</v>
      </c>
      <c r="P43" s="41" t="n">
        <f aca="false">AssignmentTable[[#This Row],[_WorkPerWD]]*MAX(0,AssignmentTable[[#This Row],[_StartWD]]-1)</f>
        <v>0</v>
      </c>
      <c r="Q43" s="41" t="n">
        <f aca="false">IF(AssignmentTable[[#This Row],[_Valid]]=1,AssignmentTable[[#This Row],[Work]]*N(INDEX(tsk_LeafProgress,AssignmentTable[[#This Row],[_TaskPos]])),0)</f>
        <v>0</v>
      </c>
      <c r="R43" s="41" t="n">
        <f aca="false">IF(NOT(AssignmentTable[[#This Row],[_Valid]]=1),0,IF(N(INDEX(tsk_LeafTotalCost,AssignmentTable[[#This Row],[_TaskPos]]))=0,0,N(INDEX(tsk_LeafAC,AssignmentTable[[#This Row],[_TaskPos]]))*AssignmentTable[[#This Row],[Cost]]/INDEX(tsk_LeafTotalCost,AssignmentTable[[#This Row],[_TaskPos]])))</f>
        <v>0</v>
      </c>
      <c r="S43" s="41" t="n">
        <f aca="false">IF(NOT(AssignmentTable[[#This Row],[_Valid]]=1),0,IF(N(INDEX(tsk_LateKey,AssignmentTable[[#This Row],[_TaskPos]]))&gt;0,1,0))</f>
        <v>0</v>
      </c>
      <c r="T43" s="41" t="n">
        <f aca="false">IF(NOT(AssignmentTable[[#This Row],[_Valid]]=1),0,IF(INDEX(tsk_Critical,AssignmentTable[[#This Row],[_TaskPos]])="Yes",1,0))</f>
        <v>0</v>
      </c>
      <c r="U4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29"/>
      <c r="C44" s="24" t="str">
        <f aca="false">IF(AssignmentTable[[#This Row],[_TaskPos]]&lt;=0,"",INDEX(tsk_Name,AssignmentTable[[#This Row],[_TaskPos]])&amp;"")</f>
        <v/>
      </c>
      <c r="D44" s="30"/>
      <c r="E44" s="80"/>
      <c r="F44" s="96" t="n">
        <f aca="false">IF(AssignmentTable[[#This Row],[_Valid]]=1,N(INDEX(tsk_Duration,AssignmentTable[[#This Row],[_TaskPos]]))*HoursPerDay*IF(AssignmentTable[[#This Row],[Units]]="",DefaultUnits,AssignmentTable[[#This Row],[Units]]),0)</f>
        <v>0</v>
      </c>
      <c r="G44" s="97" t="n">
        <f aca="false">IF(AssignmentTable[[#This Row],[Work]]=0,0,AssignmentTable[[#This Row],[Work]]*IFERROR(INDEX(res_Rate,MATCH(AssignmentTable[[#This Row],[Resource]],res_Name,0)),0))</f>
        <v>0</v>
      </c>
      <c r="H4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41" t="n">
        <f aca="false">IF(N(AssignmentTable[[#This Row],[Task UID]])=0,0,IFERROR(MATCH(AssignmentTable[[#This Row],[Task UID]],tsk_UID,0),-1))</f>
        <v>0</v>
      </c>
      <c r="J44" s="41" t="n">
        <f aca="false">IF(AND(AssignmentTable[[#This Row],[_TaskPos]]&gt;0,AssignmentTable[[#This Row],[Resource]]&lt;&gt;"",AssignmentTable[[#This Row],[Check]]=""),1,0)</f>
        <v>0</v>
      </c>
      <c r="K44" s="41" t="str">
        <f aca="false">IF(AssignmentTable[[#This Row],[_Valid]]=1,AssignmentTable[[#This Row],[Task UID]]*1000+COUNTIFS(AssignmentTable[[#Headers],[Task UID]]:AssignmentTable[[#This Row],[Task UID]],AssignmentTable[[#This Row],[Task UID]],AssignmentTable[[#Headers],[_Valid]]:AssignmentTable[[#This Row],[_Valid]],1),"")</f>
        <v/>
      </c>
      <c r="L44" s="41" t="str">
        <f aca="false">IF(AssignmentTable[[#This Row],[_Valid]]=1,AssignmentTable[[#This Row],[Resource]]&amp;IF(OR(AssignmentTable[[#This Row],[Units]]="",AssignmentTable[[#This Row],[Units]]=1),"","["&amp;ROUND(AssignmentTable[[#This Row],[Units]]*100,0)&amp;"%]"),"")</f>
        <v/>
      </c>
      <c r="M44" s="41" t="n">
        <f aca="false">IF(AssignmentTable[[#This Row],[_Valid]]=1,N(INDEX(tsk_StartWD,AssignmentTable[[#This Row],[_TaskPos]])),0)</f>
        <v>0</v>
      </c>
      <c r="N44" s="41" t="n">
        <f aca="false">IF(AssignmentTable[[#This Row],[_Valid]]=1,N(INDEX(tsk_FinishWD,AssignmentTable[[#This Row],[_TaskPos]])),0)</f>
        <v>0</v>
      </c>
      <c r="O44" s="41" t="n">
        <f aca="false">IF(OR(AssignmentTable[[#This Row],[Work]]=0,AssignmentTable[[#This Row],[_FinishWD]]=0),0,AssignmentTable[[#This Row],[Work]]/(AssignmentTable[[#This Row],[_FinishWD]]-AssignmentTable[[#This Row],[_StartWD]]+1))</f>
        <v>0</v>
      </c>
      <c r="P44" s="41" t="n">
        <f aca="false">AssignmentTable[[#This Row],[_WorkPerWD]]*MAX(0,AssignmentTable[[#This Row],[_StartWD]]-1)</f>
        <v>0</v>
      </c>
      <c r="Q44" s="41" t="n">
        <f aca="false">IF(AssignmentTable[[#This Row],[_Valid]]=1,AssignmentTable[[#This Row],[Work]]*N(INDEX(tsk_LeafProgress,AssignmentTable[[#This Row],[_TaskPos]])),0)</f>
        <v>0</v>
      </c>
      <c r="R44" s="41" t="n">
        <f aca="false">IF(NOT(AssignmentTable[[#This Row],[_Valid]]=1),0,IF(N(INDEX(tsk_LeafTotalCost,AssignmentTable[[#This Row],[_TaskPos]]))=0,0,N(INDEX(tsk_LeafAC,AssignmentTable[[#This Row],[_TaskPos]]))*AssignmentTable[[#This Row],[Cost]]/INDEX(tsk_LeafTotalCost,AssignmentTable[[#This Row],[_TaskPos]])))</f>
        <v>0</v>
      </c>
      <c r="S44" s="41" t="n">
        <f aca="false">IF(NOT(AssignmentTable[[#This Row],[_Valid]]=1),0,IF(N(INDEX(tsk_LateKey,AssignmentTable[[#This Row],[_TaskPos]]))&gt;0,1,0))</f>
        <v>0</v>
      </c>
      <c r="T44" s="41" t="n">
        <f aca="false">IF(NOT(AssignmentTable[[#This Row],[_Valid]]=1),0,IF(INDEX(tsk_Critical,AssignmentTable[[#This Row],[_TaskPos]])="Yes",1,0))</f>
        <v>0</v>
      </c>
      <c r="U4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29"/>
      <c r="C45" s="24" t="str">
        <f aca="false">IF(AssignmentTable[[#This Row],[_TaskPos]]&lt;=0,"",INDEX(tsk_Name,AssignmentTable[[#This Row],[_TaskPos]])&amp;"")</f>
        <v/>
      </c>
      <c r="D45" s="30"/>
      <c r="E45" s="80"/>
      <c r="F45" s="96" t="n">
        <f aca="false">IF(AssignmentTable[[#This Row],[_Valid]]=1,N(INDEX(tsk_Duration,AssignmentTable[[#This Row],[_TaskPos]]))*HoursPerDay*IF(AssignmentTable[[#This Row],[Units]]="",DefaultUnits,AssignmentTable[[#This Row],[Units]]),0)</f>
        <v>0</v>
      </c>
      <c r="G45" s="97" t="n">
        <f aca="false">IF(AssignmentTable[[#This Row],[Work]]=0,0,AssignmentTable[[#This Row],[Work]]*IFERROR(INDEX(res_Rate,MATCH(AssignmentTable[[#This Row],[Resource]],res_Name,0)),0))</f>
        <v>0</v>
      </c>
      <c r="H4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41" t="n">
        <f aca="false">IF(N(AssignmentTable[[#This Row],[Task UID]])=0,0,IFERROR(MATCH(AssignmentTable[[#This Row],[Task UID]],tsk_UID,0),-1))</f>
        <v>0</v>
      </c>
      <c r="J45" s="41" t="n">
        <f aca="false">IF(AND(AssignmentTable[[#This Row],[_TaskPos]]&gt;0,AssignmentTable[[#This Row],[Resource]]&lt;&gt;"",AssignmentTable[[#This Row],[Check]]=""),1,0)</f>
        <v>0</v>
      </c>
      <c r="K45" s="41" t="str">
        <f aca="false">IF(AssignmentTable[[#This Row],[_Valid]]=1,AssignmentTable[[#This Row],[Task UID]]*1000+COUNTIFS(AssignmentTable[[#Headers],[Task UID]]:AssignmentTable[[#This Row],[Task UID]],AssignmentTable[[#This Row],[Task UID]],AssignmentTable[[#Headers],[_Valid]]:AssignmentTable[[#This Row],[_Valid]],1),"")</f>
        <v/>
      </c>
      <c r="L45" s="41" t="str">
        <f aca="false">IF(AssignmentTable[[#This Row],[_Valid]]=1,AssignmentTable[[#This Row],[Resource]]&amp;IF(OR(AssignmentTable[[#This Row],[Units]]="",AssignmentTable[[#This Row],[Units]]=1),"","["&amp;ROUND(AssignmentTable[[#This Row],[Units]]*100,0)&amp;"%]"),"")</f>
        <v/>
      </c>
      <c r="M45" s="41" t="n">
        <f aca="false">IF(AssignmentTable[[#This Row],[_Valid]]=1,N(INDEX(tsk_StartWD,AssignmentTable[[#This Row],[_TaskPos]])),0)</f>
        <v>0</v>
      </c>
      <c r="N45" s="41" t="n">
        <f aca="false">IF(AssignmentTable[[#This Row],[_Valid]]=1,N(INDEX(tsk_FinishWD,AssignmentTable[[#This Row],[_TaskPos]])),0)</f>
        <v>0</v>
      </c>
      <c r="O45" s="41" t="n">
        <f aca="false">IF(OR(AssignmentTable[[#This Row],[Work]]=0,AssignmentTable[[#This Row],[_FinishWD]]=0),0,AssignmentTable[[#This Row],[Work]]/(AssignmentTable[[#This Row],[_FinishWD]]-AssignmentTable[[#This Row],[_StartWD]]+1))</f>
        <v>0</v>
      </c>
      <c r="P45" s="41" t="n">
        <f aca="false">AssignmentTable[[#This Row],[_WorkPerWD]]*MAX(0,AssignmentTable[[#This Row],[_StartWD]]-1)</f>
        <v>0</v>
      </c>
      <c r="Q45" s="41" t="n">
        <f aca="false">IF(AssignmentTable[[#This Row],[_Valid]]=1,AssignmentTable[[#This Row],[Work]]*N(INDEX(tsk_LeafProgress,AssignmentTable[[#This Row],[_TaskPos]])),0)</f>
        <v>0</v>
      </c>
      <c r="R45" s="41" t="n">
        <f aca="false">IF(NOT(AssignmentTable[[#This Row],[_Valid]]=1),0,IF(N(INDEX(tsk_LeafTotalCost,AssignmentTable[[#This Row],[_TaskPos]]))=0,0,N(INDEX(tsk_LeafAC,AssignmentTable[[#This Row],[_TaskPos]]))*AssignmentTable[[#This Row],[Cost]]/INDEX(tsk_LeafTotalCost,AssignmentTable[[#This Row],[_TaskPos]])))</f>
        <v>0</v>
      </c>
      <c r="S45" s="41" t="n">
        <f aca="false">IF(NOT(AssignmentTable[[#This Row],[_Valid]]=1),0,IF(N(INDEX(tsk_LateKey,AssignmentTable[[#This Row],[_TaskPos]]))&gt;0,1,0))</f>
        <v>0</v>
      </c>
      <c r="T45" s="41" t="n">
        <f aca="false">IF(NOT(AssignmentTable[[#This Row],[_Valid]]=1),0,IF(INDEX(tsk_Critical,AssignmentTable[[#This Row],[_TaskPos]])="Yes",1,0))</f>
        <v>0</v>
      </c>
      <c r="U4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29"/>
      <c r="C46" s="24" t="str">
        <f aca="false">IF(AssignmentTable[[#This Row],[_TaskPos]]&lt;=0,"",INDEX(tsk_Name,AssignmentTable[[#This Row],[_TaskPos]])&amp;"")</f>
        <v/>
      </c>
      <c r="D46" s="30"/>
      <c r="E46" s="80"/>
      <c r="F46" s="96" t="n">
        <f aca="false">IF(AssignmentTable[[#This Row],[_Valid]]=1,N(INDEX(tsk_Duration,AssignmentTable[[#This Row],[_TaskPos]]))*HoursPerDay*IF(AssignmentTable[[#This Row],[Units]]="",DefaultUnits,AssignmentTable[[#This Row],[Units]]),0)</f>
        <v>0</v>
      </c>
      <c r="G46" s="97" t="n">
        <f aca="false">IF(AssignmentTable[[#This Row],[Work]]=0,0,AssignmentTable[[#This Row],[Work]]*IFERROR(INDEX(res_Rate,MATCH(AssignmentTable[[#This Row],[Resource]],res_Name,0)),0))</f>
        <v>0</v>
      </c>
      <c r="H4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41" t="n">
        <f aca="false">IF(N(AssignmentTable[[#This Row],[Task UID]])=0,0,IFERROR(MATCH(AssignmentTable[[#This Row],[Task UID]],tsk_UID,0),-1))</f>
        <v>0</v>
      </c>
      <c r="J46" s="41" t="n">
        <f aca="false">IF(AND(AssignmentTable[[#This Row],[_TaskPos]]&gt;0,AssignmentTable[[#This Row],[Resource]]&lt;&gt;"",AssignmentTable[[#This Row],[Check]]=""),1,0)</f>
        <v>0</v>
      </c>
      <c r="K46" s="41" t="str">
        <f aca="false">IF(AssignmentTable[[#This Row],[_Valid]]=1,AssignmentTable[[#This Row],[Task UID]]*1000+COUNTIFS(AssignmentTable[[#Headers],[Task UID]]:AssignmentTable[[#This Row],[Task UID]],AssignmentTable[[#This Row],[Task UID]],AssignmentTable[[#Headers],[_Valid]]:AssignmentTable[[#This Row],[_Valid]],1),"")</f>
        <v/>
      </c>
      <c r="L46" s="41" t="str">
        <f aca="false">IF(AssignmentTable[[#This Row],[_Valid]]=1,AssignmentTable[[#This Row],[Resource]]&amp;IF(OR(AssignmentTable[[#This Row],[Units]]="",AssignmentTable[[#This Row],[Units]]=1),"","["&amp;ROUND(AssignmentTable[[#This Row],[Units]]*100,0)&amp;"%]"),"")</f>
        <v/>
      </c>
      <c r="M46" s="41" t="n">
        <f aca="false">IF(AssignmentTable[[#This Row],[_Valid]]=1,N(INDEX(tsk_StartWD,AssignmentTable[[#This Row],[_TaskPos]])),0)</f>
        <v>0</v>
      </c>
      <c r="N46" s="41" t="n">
        <f aca="false">IF(AssignmentTable[[#This Row],[_Valid]]=1,N(INDEX(tsk_FinishWD,AssignmentTable[[#This Row],[_TaskPos]])),0)</f>
        <v>0</v>
      </c>
      <c r="O46" s="41" t="n">
        <f aca="false">IF(OR(AssignmentTable[[#This Row],[Work]]=0,AssignmentTable[[#This Row],[_FinishWD]]=0),0,AssignmentTable[[#This Row],[Work]]/(AssignmentTable[[#This Row],[_FinishWD]]-AssignmentTable[[#This Row],[_StartWD]]+1))</f>
        <v>0</v>
      </c>
      <c r="P46" s="41" t="n">
        <f aca="false">AssignmentTable[[#This Row],[_WorkPerWD]]*MAX(0,AssignmentTable[[#This Row],[_StartWD]]-1)</f>
        <v>0</v>
      </c>
      <c r="Q46" s="41" t="n">
        <f aca="false">IF(AssignmentTable[[#This Row],[_Valid]]=1,AssignmentTable[[#This Row],[Work]]*N(INDEX(tsk_LeafProgress,AssignmentTable[[#This Row],[_TaskPos]])),0)</f>
        <v>0</v>
      </c>
      <c r="R46" s="41" t="n">
        <f aca="false">IF(NOT(AssignmentTable[[#This Row],[_Valid]]=1),0,IF(N(INDEX(tsk_LeafTotalCost,AssignmentTable[[#This Row],[_TaskPos]]))=0,0,N(INDEX(tsk_LeafAC,AssignmentTable[[#This Row],[_TaskPos]]))*AssignmentTable[[#This Row],[Cost]]/INDEX(tsk_LeafTotalCost,AssignmentTable[[#This Row],[_TaskPos]])))</f>
        <v>0</v>
      </c>
      <c r="S46" s="41" t="n">
        <f aca="false">IF(NOT(AssignmentTable[[#This Row],[_Valid]]=1),0,IF(N(INDEX(tsk_LateKey,AssignmentTable[[#This Row],[_TaskPos]]))&gt;0,1,0))</f>
        <v>0</v>
      </c>
      <c r="T46" s="41" t="n">
        <f aca="false">IF(NOT(AssignmentTable[[#This Row],[_Valid]]=1),0,IF(INDEX(tsk_Critical,AssignmentTable[[#This Row],[_TaskPos]])="Yes",1,0))</f>
        <v>0</v>
      </c>
      <c r="U4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29"/>
      <c r="C47" s="24" t="str">
        <f aca="false">IF(AssignmentTable[[#This Row],[_TaskPos]]&lt;=0,"",INDEX(tsk_Name,AssignmentTable[[#This Row],[_TaskPos]])&amp;"")</f>
        <v/>
      </c>
      <c r="D47" s="30"/>
      <c r="E47" s="80"/>
      <c r="F47" s="96" t="n">
        <f aca="false">IF(AssignmentTable[[#This Row],[_Valid]]=1,N(INDEX(tsk_Duration,AssignmentTable[[#This Row],[_TaskPos]]))*HoursPerDay*IF(AssignmentTable[[#This Row],[Units]]="",DefaultUnits,AssignmentTable[[#This Row],[Units]]),0)</f>
        <v>0</v>
      </c>
      <c r="G47" s="97" t="n">
        <f aca="false">IF(AssignmentTable[[#This Row],[Work]]=0,0,AssignmentTable[[#This Row],[Work]]*IFERROR(INDEX(res_Rate,MATCH(AssignmentTable[[#This Row],[Resource]],res_Name,0)),0))</f>
        <v>0</v>
      </c>
      <c r="H4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41" t="n">
        <f aca="false">IF(N(AssignmentTable[[#This Row],[Task UID]])=0,0,IFERROR(MATCH(AssignmentTable[[#This Row],[Task UID]],tsk_UID,0),-1))</f>
        <v>0</v>
      </c>
      <c r="J47" s="41" t="n">
        <f aca="false">IF(AND(AssignmentTable[[#This Row],[_TaskPos]]&gt;0,AssignmentTable[[#This Row],[Resource]]&lt;&gt;"",AssignmentTable[[#This Row],[Check]]=""),1,0)</f>
        <v>0</v>
      </c>
      <c r="K47" s="41" t="str">
        <f aca="false">IF(AssignmentTable[[#This Row],[_Valid]]=1,AssignmentTable[[#This Row],[Task UID]]*1000+COUNTIFS(AssignmentTable[[#Headers],[Task UID]]:AssignmentTable[[#This Row],[Task UID]],AssignmentTable[[#This Row],[Task UID]],AssignmentTable[[#Headers],[_Valid]]:AssignmentTable[[#This Row],[_Valid]],1),"")</f>
        <v/>
      </c>
      <c r="L47" s="41" t="str">
        <f aca="false">IF(AssignmentTable[[#This Row],[_Valid]]=1,AssignmentTable[[#This Row],[Resource]]&amp;IF(OR(AssignmentTable[[#This Row],[Units]]="",AssignmentTable[[#This Row],[Units]]=1),"","["&amp;ROUND(AssignmentTable[[#This Row],[Units]]*100,0)&amp;"%]"),"")</f>
        <v/>
      </c>
      <c r="M47" s="41" t="n">
        <f aca="false">IF(AssignmentTable[[#This Row],[_Valid]]=1,N(INDEX(tsk_StartWD,AssignmentTable[[#This Row],[_TaskPos]])),0)</f>
        <v>0</v>
      </c>
      <c r="N47" s="41" t="n">
        <f aca="false">IF(AssignmentTable[[#This Row],[_Valid]]=1,N(INDEX(tsk_FinishWD,AssignmentTable[[#This Row],[_TaskPos]])),0)</f>
        <v>0</v>
      </c>
      <c r="O47" s="41" t="n">
        <f aca="false">IF(OR(AssignmentTable[[#This Row],[Work]]=0,AssignmentTable[[#This Row],[_FinishWD]]=0),0,AssignmentTable[[#This Row],[Work]]/(AssignmentTable[[#This Row],[_FinishWD]]-AssignmentTable[[#This Row],[_StartWD]]+1))</f>
        <v>0</v>
      </c>
      <c r="P47" s="41" t="n">
        <f aca="false">AssignmentTable[[#This Row],[_WorkPerWD]]*MAX(0,AssignmentTable[[#This Row],[_StartWD]]-1)</f>
        <v>0</v>
      </c>
      <c r="Q47" s="41" t="n">
        <f aca="false">IF(AssignmentTable[[#This Row],[_Valid]]=1,AssignmentTable[[#This Row],[Work]]*N(INDEX(tsk_LeafProgress,AssignmentTable[[#This Row],[_TaskPos]])),0)</f>
        <v>0</v>
      </c>
      <c r="R47" s="41" t="n">
        <f aca="false">IF(NOT(AssignmentTable[[#This Row],[_Valid]]=1),0,IF(N(INDEX(tsk_LeafTotalCost,AssignmentTable[[#This Row],[_TaskPos]]))=0,0,N(INDEX(tsk_LeafAC,AssignmentTable[[#This Row],[_TaskPos]]))*AssignmentTable[[#This Row],[Cost]]/INDEX(tsk_LeafTotalCost,AssignmentTable[[#This Row],[_TaskPos]])))</f>
        <v>0</v>
      </c>
      <c r="S47" s="41" t="n">
        <f aca="false">IF(NOT(AssignmentTable[[#This Row],[_Valid]]=1),0,IF(N(INDEX(tsk_LateKey,AssignmentTable[[#This Row],[_TaskPos]]))&gt;0,1,0))</f>
        <v>0</v>
      </c>
      <c r="T47" s="41" t="n">
        <f aca="false">IF(NOT(AssignmentTable[[#This Row],[_Valid]]=1),0,IF(INDEX(tsk_Critical,AssignmentTable[[#This Row],[_TaskPos]])="Yes",1,0))</f>
        <v>0</v>
      </c>
      <c r="U4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29"/>
      <c r="C48" s="24" t="str">
        <f aca="false">IF(AssignmentTable[[#This Row],[_TaskPos]]&lt;=0,"",INDEX(tsk_Name,AssignmentTable[[#This Row],[_TaskPos]])&amp;"")</f>
        <v/>
      </c>
      <c r="D48" s="30"/>
      <c r="E48" s="80"/>
      <c r="F48" s="96" t="n">
        <f aca="false">IF(AssignmentTable[[#This Row],[_Valid]]=1,N(INDEX(tsk_Duration,AssignmentTable[[#This Row],[_TaskPos]]))*HoursPerDay*IF(AssignmentTable[[#This Row],[Units]]="",DefaultUnits,AssignmentTable[[#This Row],[Units]]),0)</f>
        <v>0</v>
      </c>
      <c r="G48" s="97" t="n">
        <f aca="false">IF(AssignmentTable[[#This Row],[Work]]=0,0,AssignmentTable[[#This Row],[Work]]*IFERROR(INDEX(res_Rate,MATCH(AssignmentTable[[#This Row],[Resource]],res_Name,0)),0))</f>
        <v>0</v>
      </c>
      <c r="H4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41" t="n">
        <f aca="false">IF(N(AssignmentTable[[#This Row],[Task UID]])=0,0,IFERROR(MATCH(AssignmentTable[[#This Row],[Task UID]],tsk_UID,0),-1))</f>
        <v>0</v>
      </c>
      <c r="J48" s="41" t="n">
        <f aca="false">IF(AND(AssignmentTable[[#This Row],[_TaskPos]]&gt;0,AssignmentTable[[#This Row],[Resource]]&lt;&gt;"",AssignmentTable[[#This Row],[Check]]=""),1,0)</f>
        <v>0</v>
      </c>
      <c r="K48" s="41" t="str">
        <f aca="false">IF(AssignmentTable[[#This Row],[_Valid]]=1,AssignmentTable[[#This Row],[Task UID]]*1000+COUNTIFS(AssignmentTable[[#Headers],[Task UID]]:AssignmentTable[[#This Row],[Task UID]],AssignmentTable[[#This Row],[Task UID]],AssignmentTable[[#Headers],[_Valid]]:AssignmentTable[[#This Row],[_Valid]],1),"")</f>
        <v/>
      </c>
      <c r="L48" s="41" t="str">
        <f aca="false">IF(AssignmentTable[[#This Row],[_Valid]]=1,AssignmentTable[[#This Row],[Resource]]&amp;IF(OR(AssignmentTable[[#This Row],[Units]]="",AssignmentTable[[#This Row],[Units]]=1),"","["&amp;ROUND(AssignmentTable[[#This Row],[Units]]*100,0)&amp;"%]"),"")</f>
        <v/>
      </c>
      <c r="M48" s="41" t="n">
        <f aca="false">IF(AssignmentTable[[#This Row],[_Valid]]=1,N(INDEX(tsk_StartWD,AssignmentTable[[#This Row],[_TaskPos]])),0)</f>
        <v>0</v>
      </c>
      <c r="N48" s="41" t="n">
        <f aca="false">IF(AssignmentTable[[#This Row],[_Valid]]=1,N(INDEX(tsk_FinishWD,AssignmentTable[[#This Row],[_TaskPos]])),0)</f>
        <v>0</v>
      </c>
      <c r="O48" s="41" t="n">
        <f aca="false">IF(OR(AssignmentTable[[#This Row],[Work]]=0,AssignmentTable[[#This Row],[_FinishWD]]=0),0,AssignmentTable[[#This Row],[Work]]/(AssignmentTable[[#This Row],[_FinishWD]]-AssignmentTable[[#This Row],[_StartWD]]+1))</f>
        <v>0</v>
      </c>
      <c r="P48" s="41" t="n">
        <f aca="false">AssignmentTable[[#This Row],[_WorkPerWD]]*MAX(0,AssignmentTable[[#This Row],[_StartWD]]-1)</f>
        <v>0</v>
      </c>
      <c r="Q48" s="41" t="n">
        <f aca="false">IF(AssignmentTable[[#This Row],[_Valid]]=1,AssignmentTable[[#This Row],[Work]]*N(INDEX(tsk_LeafProgress,AssignmentTable[[#This Row],[_TaskPos]])),0)</f>
        <v>0</v>
      </c>
      <c r="R48" s="41" t="n">
        <f aca="false">IF(NOT(AssignmentTable[[#This Row],[_Valid]]=1),0,IF(N(INDEX(tsk_LeafTotalCost,AssignmentTable[[#This Row],[_TaskPos]]))=0,0,N(INDEX(tsk_LeafAC,AssignmentTable[[#This Row],[_TaskPos]]))*AssignmentTable[[#This Row],[Cost]]/INDEX(tsk_LeafTotalCost,AssignmentTable[[#This Row],[_TaskPos]])))</f>
        <v>0</v>
      </c>
      <c r="S48" s="41" t="n">
        <f aca="false">IF(NOT(AssignmentTable[[#This Row],[_Valid]]=1),0,IF(N(INDEX(tsk_LateKey,AssignmentTable[[#This Row],[_TaskPos]]))&gt;0,1,0))</f>
        <v>0</v>
      </c>
      <c r="T48" s="41" t="n">
        <f aca="false">IF(NOT(AssignmentTable[[#This Row],[_Valid]]=1),0,IF(INDEX(tsk_Critical,AssignmentTable[[#This Row],[_TaskPos]])="Yes",1,0))</f>
        <v>0</v>
      </c>
      <c r="U4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29"/>
      <c r="C49" s="24" t="str">
        <f aca="false">IF(AssignmentTable[[#This Row],[_TaskPos]]&lt;=0,"",INDEX(tsk_Name,AssignmentTable[[#This Row],[_TaskPos]])&amp;"")</f>
        <v/>
      </c>
      <c r="D49" s="30"/>
      <c r="E49" s="80"/>
      <c r="F49" s="96" t="n">
        <f aca="false">IF(AssignmentTable[[#This Row],[_Valid]]=1,N(INDEX(tsk_Duration,AssignmentTable[[#This Row],[_TaskPos]]))*HoursPerDay*IF(AssignmentTable[[#This Row],[Units]]="",DefaultUnits,AssignmentTable[[#This Row],[Units]]),0)</f>
        <v>0</v>
      </c>
      <c r="G49" s="97" t="n">
        <f aca="false">IF(AssignmentTable[[#This Row],[Work]]=0,0,AssignmentTable[[#This Row],[Work]]*IFERROR(INDEX(res_Rate,MATCH(AssignmentTable[[#This Row],[Resource]],res_Name,0)),0))</f>
        <v>0</v>
      </c>
      <c r="H4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41" t="n">
        <f aca="false">IF(N(AssignmentTable[[#This Row],[Task UID]])=0,0,IFERROR(MATCH(AssignmentTable[[#This Row],[Task UID]],tsk_UID,0),-1))</f>
        <v>0</v>
      </c>
      <c r="J49" s="41" t="n">
        <f aca="false">IF(AND(AssignmentTable[[#This Row],[_TaskPos]]&gt;0,AssignmentTable[[#This Row],[Resource]]&lt;&gt;"",AssignmentTable[[#This Row],[Check]]=""),1,0)</f>
        <v>0</v>
      </c>
      <c r="K49" s="41" t="str">
        <f aca="false">IF(AssignmentTable[[#This Row],[_Valid]]=1,AssignmentTable[[#This Row],[Task UID]]*1000+COUNTIFS(AssignmentTable[[#Headers],[Task UID]]:AssignmentTable[[#This Row],[Task UID]],AssignmentTable[[#This Row],[Task UID]],AssignmentTable[[#Headers],[_Valid]]:AssignmentTable[[#This Row],[_Valid]],1),"")</f>
        <v/>
      </c>
      <c r="L49" s="41" t="str">
        <f aca="false">IF(AssignmentTable[[#This Row],[_Valid]]=1,AssignmentTable[[#This Row],[Resource]]&amp;IF(OR(AssignmentTable[[#This Row],[Units]]="",AssignmentTable[[#This Row],[Units]]=1),"","["&amp;ROUND(AssignmentTable[[#This Row],[Units]]*100,0)&amp;"%]"),"")</f>
        <v/>
      </c>
      <c r="M49" s="41" t="n">
        <f aca="false">IF(AssignmentTable[[#This Row],[_Valid]]=1,N(INDEX(tsk_StartWD,AssignmentTable[[#This Row],[_TaskPos]])),0)</f>
        <v>0</v>
      </c>
      <c r="N49" s="41" t="n">
        <f aca="false">IF(AssignmentTable[[#This Row],[_Valid]]=1,N(INDEX(tsk_FinishWD,AssignmentTable[[#This Row],[_TaskPos]])),0)</f>
        <v>0</v>
      </c>
      <c r="O49" s="41" t="n">
        <f aca="false">IF(OR(AssignmentTable[[#This Row],[Work]]=0,AssignmentTable[[#This Row],[_FinishWD]]=0),0,AssignmentTable[[#This Row],[Work]]/(AssignmentTable[[#This Row],[_FinishWD]]-AssignmentTable[[#This Row],[_StartWD]]+1))</f>
        <v>0</v>
      </c>
      <c r="P49" s="41" t="n">
        <f aca="false">AssignmentTable[[#This Row],[_WorkPerWD]]*MAX(0,AssignmentTable[[#This Row],[_StartWD]]-1)</f>
        <v>0</v>
      </c>
      <c r="Q49" s="41" t="n">
        <f aca="false">IF(AssignmentTable[[#This Row],[_Valid]]=1,AssignmentTable[[#This Row],[Work]]*N(INDEX(tsk_LeafProgress,AssignmentTable[[#This Row],[_TaskPos]])),0)</f>
        <v>0</v>
      </c>
      <c r="R49" s="41" t="n">
        <f aca="false">IF(NOT(AssignmentTable[[#This Row],[_Valid]]=1),0,IF(N(INDEX(tsk_LeafTotalCost,AssignmentTable[[#This Row],[_TaskPos]]))=0,0,N(INDEX(tsk_LeafAC,AssignmentTable[[#This Row],[_TaskPos]]))*AssignmentTable[[#This Row],[Cost]]/INDEX(tsk_LeafTotalCost,AssignmentTable[[#This Row],[_TaskPos]])))</f>
        <v>0</v>
      </c>
      <c r="S49" s="41" t="n">
        <f aca="false">IF(NOT(AssignmentTable[[#This Row],[_Valid]]=1),0,IF(N(INDEX(tsk_LateKey,AssignmentTable[[#This Row],[_TaskPos]]))&gt;0,1,0))</f>
        <v>0</v>
      </c>
      <c r="T49" s="41" t="n">
        <f aca="false">IF(NOT(AssignmentTable[[#This Row],[_Valid]]=1),0,IF(INDEX(tsk_Critical,AssignmentTable[[#This Row],[_TaskPos]])="Yes",1,0))</f>
        <v>0</v>
      </c>
      <c r="U4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29"/>
      <c r="C50" s="24" t="str">
        <f aca="false">IF(AssignmentTable[[#This Row],[_TaskPos]]&lt;=0,"",INDEX(tsk_Name,AssignmentTable[[#This Row],[_TaskPos]])&amp;"")</f>
        <v/>
      </c>
      <c r="D50" s="30"/>
      <c r="E50" s="80"/>
      <c r="F50" s="96" t="n">
        <f aca="false">IF(AssignmentTable[[#This Row],[_Valid]]=1,N(INDEX(tsk_Duration,AssignmentTable[[#This Row],[_TaskPos]]))*HoursPerDay*IF(AssignmentTable[[#This Row],[Units]]="",DefaultUnits,AssignmentTable[[#This Row],[Units]]),0)</f>
        <v>0</v>
      </c>
      <c r="G50" s="97" t="n">
        <f aca="false">IF(AssignmentTable[[#This Row],[Work]]=0,0,AssignmentTable[[#This Row],[Work]]*IFERROR(INDEX(res_Rate,MATCH(AssignmentTable[[#This Row],[Resource]],res_Name,0)),0))</f>
        <v>0</v>
      </c>
      <c r="H5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41" t="n">
        <f aca="false">IF(N(AssignmentTable[[#This Row],[Task UID]])=0,0,IFERROR(MATCH(AssignmentTable[[#This Row],[Task UID]],tsk_UID,0),-1))</f>
        <v>0</v>
      </c>
      <c r="J50" s="41" t="n">
        <f aca="false">IF(AND(AssignmentTable[[#This Row],[_TaskPos]]&gt;0,AssignmentTable[[#This Row],[Resource]]&lt;&gt;"",AssignmentTable[[#This Row],[Check]]=""),1,0)</f>
        <v>0</v>
      </c>
      <c r="K50" s="41" t="str">
        <f aca="false">IF(AssignmentTable[[#This Row],[_Valid]]=1,AssignmentTable[[#This Row],[Task UID]]*1000+COUNTIFS(AssignmentTable[[#Headers],[Task UID]]:AssignmentTable[[#This Row],[Task UID]],AssignmentTable[[#This Row],[Task UID]],AssignmentTable[[#Headers],[_Valid]]:AssignmentTable[[#This Row],[_Valid]],1),"")</f>
        <v/>
      </c>
      <c r="L50" s="41" t="str">
        <f aca="false">IF(AssignmentTable[[#This Row],[_Valid]]=1,AssignmentTable[[#This Row],[Resource]]&amp;IF(OR(AssignmentTable[[#This Row],[Units]]="",AssignmentTable[[#This Row],[Units]]=1),"","["&amp;ROUND(AssignmentTable[[#This Row],[Units]]*100,0)&amp;"%]"),"")</f>
        <v/>
      </c>
      <c r="M50" s="41" t="n">
        <f aca="false">IF(AssignmentTable[[#This Row],[_Valid]]=1,N(INDEX(tsk_StartWD,AssignmentTable[[#This Row],[_TaskPos]])),0)</f>
        <v>0</v>
      </c>
      <c r="N50" s="41" t="n">
        <f aca="false">IF(AssignmentTable[[#This Row],[_Valid]]=1,N(INDEX(tsk_FinishWD,AssignmentTable[[#This Row],[_TaskPos]])),0)</f>
        <v>0</v>
      </c>
      <c r="O50" s="41" t="n">
        <f aca="false">IF(OR(AssignmentTable[[#This Row],[Work]]=0,AssignmentTable[[#This Row],[_FinishWD]]=0),0,AssignmentTable[[#This Row],[Work]]/(AssignmentTable[[#This Row],[_FinishWD]]-AssignmentTable[[#This Row],[_StartWD]]+1))</f>
        <v>0</v>
      </c>
      <c r="P50" s="41" t="n">
        <f aca="false">AssignmentTable[[#This Row],[_WorkPerWD]]*MAX(0,AssignmentTable[[#This Row],[_StartWD]]-1)</f>
        <v>0</v>
      </c>
      <c r="Q50" s="41" t="n">
        <f aca="false">IF(AssignmentTable[[#This Row],[_Valid]]=1,AssignmentTable[[#This Row],[Work]]*N(INDEX(tsk_LeafProgress,AssignmentTable[[#This Row],[_TaskPos]])),0)</f>
        <v>0</v>
      </c>
      <c r="R50" s="41" t="n">
        <f aca="false">IF(NOT(AssignmentTable[[#This Row],[_Valid]]=1),0,IF(N(INDEX(tsk_LeafTotalCost,AssignmentTable[[#This Row],[_TaskPos]]))=0,0,N(INDEX(tsk_LeafAC,AssignmentTable[[#This Row],[_TaskPos]]))*AssignmentTable[[#This Row],[Cost]]/INDEX(tsk_LeafTotalCost,AssignmentTable[[#This Row],[_TaskPos]])))</f>
        <v>0</v>
      </c>
      <c r="S50" s="41" t="n">
        <f aca="false">IF(NOT(AssignmentTable[[#This Row],[_Valid]]=1),0,IF(N(INDEX(tsk_LateKey,AssignmentTable[[#This Row],[_TaskPos]]))&gt;0,1,0))</f>
        <v>0</v>
      </c>
      <c r="T50" s="41" t="n">
        <f aca="false">IF(NOT(AssignmentTable[[#This Row],[_Valid]]=1),0,IF(INDEX(tsk_Critical,AssignmentTable[[#This Row],[_TaskPos]])="Yes",1,0))</f>
        <v>0</v>
      </c>
      <c r="U5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29"/>
      <c r="C51" s="24" t="str">
        <f aca="false">IF(AssignmentTable[[#This Row],[_TaskPos]]&lt;=0,"",INDEX(tsk_Name,AssignmentTable[[#This Row],[_TaskPos]])&amp;"")</f>
        <v/>
      </c>
      <c r="D51" s="30"/>
      <c r="E51" s="80"/>
      <c r="F51" s="96" t="n">
        <f aca="false">IF(AssignmentTable[[#This Row],[_Valid]]=1,N(INDEX(tsk_Duration,AssignmentTable[[#This Row],[_TaskPos]]))*HoursPerDay*IF(AssignmentTable[[#This Row],[Units]]="",DefaultUnits,AssignmentTable[[#This Row],[Units]]),0)</f>
        <v>0</v>
      </c>
      <c r="G51" s="97" t="n">
        <f aca="false">IF(AssignmentTable[[#This Row],[Work]]=0,0,AssignmentTable[[#This Row],[Work]]*IFERROR(INDEX(res_Rate,MATCH(AssignmentTable[[#This Row],[Resource]],res_Name,0)),0))</f>
        <v>0</v>
      </c>
      <c r="H5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41" t="n">
        <f aca="false">IF(N(AssignmentTable[[#This Row],[Task UID]])=0,0,IFERROR(MATCH(AssignmentTable[[#This Row],[Task UID]],tsk_UID,0),-1))</f>
        <v>0</v>
      </c>
      <c r="J51" s="41" t="n">
        <f aca="false">IF(AND(AssignmentTable[[#This Row],[_TaskPos]]&gt;0,AssignmentTable[[#This Row],[Resource]]&lt;&gt;"",AssignmentTable[[#This Row],[Check]]=""),1,0)</f>
        <v>0</v>
      </c>
      <c r="K51" s="41" t="str">
        <f aca="false">IF(AssignmentTable[[#This Row],[_Valid]]=1,AssignmentTable[[#This Row],[Task UID]]*1000+COUNTIFS(AssignmentTable[[#Headers],[Task UID]]:AssignmentTable[[#This Row],[Task UID]],AssignmentTable[[#This Row],[Task UID]],AssignmentTable[[#Headers],[_Valid]]:AssignmentTable[[#This Row],[_Valid]],1),"")</f>
        <v/>
      </c>
      <c r="L51" s="41" t="str">
        <f aca="false">IF(AssignmentTable[[#This Row],[_Valid]]=1,AssignmentTable[[#This Row],[Resource]]&amp;IF(OR(AssignmentTable[[#This Row],[Units]]="",AssignmentTable[[#This Row],[Units]]=1),"","["&amp;ROUND(AssignmentTable[[#This Row],[Units]]*100,0)&amp;"%]"),"")</f>
        <v/>
      </c>
      <c r="M51" s="41" t="n">
        <f aca="false">IF(AssignmentTable[[#This Row],[_Valid]]=1,N(INDEX(tsk_StartWD,AssignmentTable[[#This Row],[_TaskPos]])),0)</f>
        <v>0</v>
      </c>
      <c r="N51" s="41" t="n">
        <f aca="false">IF(AssignmentTable[[#This Row],[_Valid]]=1,N(INDEX(tsk_FinishWD,AssignmentTable[[#This Row],[_TaskPos]])),0)</f>
        <v>0</v>
      </c>
      <c r="O51" s="41" t="n">
        <f aca="false">IF(OR(AssignmentTable[[#This Row],[Work]]=0,AssignmentTable[[#This Row],[_FinishWD]]=0),0,AssignmentTable[[#This Row],[Work]]/(AssignmentTable[[#This Row],[_FinishWD]]-AssignmentTable[[#This Row],[_StartWD]]+1))</f>
        <v>0</v>
      </c>
      <c r="P51" s="41" t="n">
        <f aca="false">AssignmentTable[[#This Row],[_WorkPerWD]]*MAX(0,AssignmentTable[[#This Row],[_StartWD]]-1)</f>
        <v>0</v>
      </c>
      <c r="Q51" s="41" t="n">
        <f aca="false">IF(AssignmentTable[[#This Row],[_Valid]]=1,AssignmentTable[[#This Row],[Work]]*N(INDEX(tsk_LeafProgress,AssignmentTable[[#This Row],[_TaskPos]])),0)</f>
        <v>0</v>
      </c>
      <c r="R51" s="41" t="n">
        <f aca="false">IF(NOT(AssignmentTable[[#This Row],[_Valid]]=1),0,IF(N(INDEX(tsk_LeafTotalCost,AssignmentTable[[#This Row],[_TaskPos]]))=0,0,N(INDEX(tsk_LeafAC,AssignmentTable[[#This Row],[_TaskPos]]))*AssignmentTable[[#This Row],[Cost]]/INDEX(tsk_LeafTotalCost,AssignmentTable[[#This Row],[_TaskPos]])))</f>
        <v>0</v>
      </c>
      <c r="S51" s="41" t="n">
        <f aca="false">IF(NOT(AssignmentTable[[#This Row],[_Valid]]=1),0,IF(N(INDEX(tsk_LateKey,AssignmentTable[[#This Row],[_TaskPos]]))&gt;0,1,0))</f>
        <v>0</v>
      </c>
      <c r="T51" s="41" t="n">
        <f aca="false">IF(NOT(AssignmentTable[[#This Row],[_Valid]]=1),0,IF(INDEX(tsk_Critical,AssignmentTable[[#This Row],[_TaskPos]])="Yes",1,0))</f>
        <v>0</v>
      </c>
      <c r="U5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29"/>
      <c r="C52" s="24" t="str">
        <f aca="false">IF(AssignmentTable[[#This Row],[_TaskPos]]&lt;=0,"",INDEX(tsk_Name,AssignmentTable[[#This Row],[_TaskPos]])&amp;"")</f>
        <v/>
      </c>
      <c r="D52" s="30"/>
      <c r="E52" s="80"/>
      <c r="F52" s="96" t="n">
        <f aca="false">IF(AssignmentTable[[#This Row],[_Valid]]=1,N(INDEX(tsk_Duration,AssignmentTable[[#This Row],[_TaskPos]]))*HoursPerDay*IF(AssignmentTable[[#This Row],[Units]]="",DefaultUnits,AssignmentTable[[#This Row],[Units]]),0)</f>
        <v>0</v>
      </c>
      <c r="G52" s="97" t="n">
        <f aca="false">IF(AssignmentTable[[#This Row],[Work]]=0,0,AssignmentTable[[#This Row],[Work]]*IFERROR(INDEX(res_Rate,MATCH(AssignmentTable[[#This Row],[Resource]],res_Name,0)),0))</f>
        <v>0</v>
      </c>
      <c r="H5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41" t="n">
        <f aca="false">IF(N(AssignmentTable[[#This Row],[Task UID]])=0,0,IFERROR(MATCH(AssignmentTable[[#This Row],[Task UID]],tsk_UID,0),-1))</f>
        <v>0</v>
      </c>
      <c r="J52" s="41" t="n">
        <f aca="false">IF(AND(AssignmentTable[[#This Row],[_TaskPos]]&gt;0,AssignmentTable[[#This Row],[Resource]]&lt;&gt;"",AssignmentTable[[#This Row],[Check]]=""),1,0)</f>
        <v>0</v>
      </c>
      <c r="K52" s="41" t="str">
        <f aca="false">IF(AssignmentTable[[#This Row],[_Valid]]=1,AssignmentTable[[#This Row],[Task UID]]*1000+COUNTIFS(AssignmentTable[[#Headers],[Task UID]]:AssignmentTable[[#This Row],[Task UID]],AssignmentTable[[#This Row],[Task UID]],AssignmentTable[[#Headers],[_Valid]]:AssignmentTable[[#This Row],[_Valid]],1),"")</f>
        <v/>
      </c>
      <c r="L52" s="41" t="str">
        <f aca="false">IF(AssignmentTable[[#This Row],[_Valid]]=1,AssignmentTable[[#This Row],[Resource]]&amp;IF(OR(AssignmentTable[[#This Row],[Units]]="",AssignmentTable[[#This Row],[Units]]=1),"","["&amp;ROUND(AssignmentTable[[#This Row],[Units]]*100,0)&amp;"%]"),"")</f>
        <v/>
      </c>
      <c r="M52" s="41" t="n">
        <f aca="false">IF(AssignmentTable[[#This Row],[_Valid]]=1,N(INDEX(tsk_StartWD,AssignmentTable[[#This Row],[_TaskPos]])),0)</f>
        <v>0</v>
      </c>
      <c r="N52" s="41" t="n">
        <f aca="false">IF(AssignmentTable[[#This Row],[_Valid]]=1,N(INDEX(tsk_FinishWD,AssignmentTable[[#This Row],[_TaskPos]])),0)</f>
        <v>0</v>
      </c>
      <c r="O52" s="41" t="n">
        <f aca="false">IF(OR(AssignmentTable[[#This Row],[Work]]=0,AssignmentTable[[#This Row],[_FinishWD]]=0),0,AssignmentTable[[#This Row],[Work]]/(AssignmentTable[[#This Row],[_FinishWD]]-AssignmentTable[[#This Row],[_StartWD]]+1))</f>
        <v>0</v>
      </c>
      <c r="P52" s="41" t="n">
        <f aca="false">AssignmentTable[[#This Row],[_WorkPerWD]]*MAX(0,AssignmentTable[[#This Row],[_StartWD]]-1)</f>
        <v>0</v>
      </c>
      <c r="Q52" s="41" t="n">
        <f aca="false">IF(AssignmentTable[[#This Row],[_Valid]]=1,AssignmentTable[[#This Row],[Work]]*N(INDEX(tsk_LeafProgress,AssignmentTable[[#This Row],[_TaskPos]])),0)</f>
        <v>0</v>
      </c>
      <c r="R52" s="41" t="n">
        <f aca="false">IF(NOT(AssignmentTable[[#This Row],[_Valid]]=1),0,IF(N(INDEX(tsk_LeafTotalCost,AssignmentTable[[#This Row],[_TaskPos]]))=0,0,N(INDEX(tsk_LeafAC,AssignmentTable[[#This Row],[_TaskPos]]))*AssignmentTable[[#This Row],[Cost]]/INDEX(tsk_LeafTotalCost,AssignmentTable[[#This Row],[_TaskPos]])))</f>
        <v>0</v>
      </c>
      <c r="S52" s="41" t="n">
        <f aca="false">IF(NOT(AssignmentTable[[#This Row],[_Valid]]=1),0,IF(N(INDEX(tsk_LateKey,AssignmentTable[[#This Row],[_TaskPos]]))&gt;0,1,0))</f>
        <v>0</v>
      </c>
      <c r="T52" s="41" t="n">
        <f aca="false">IF(NOT(AssignmentTable[[#This Row],[_Valid]]=1),0,IF(INDEX(tsk_Critical,AssignmentTable[[#This Row],[_TaskPos]])="Yes",1,0))</f>
        <v>0</v>
      </c>
      <c r="U5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29"/>
      <c r="C53" s="24" t="str">
        <f aca="false">IF(AssignmentTable[[#This Row],[_TaskPos]]&lt;=0,"",INDEX(tsk_Name,AssignmentTable[[#This Row],[_TaskPos]])&amp;"")</f>
        <v/>
      </c>
      <c r="D53" s="30"/>
      <c r="E53" s="80"/>
      <c r="F53" s="96" t="n">
        <f aca="false">IF(AssignmentTable[[#This Row],[_Valid]]=1,N(INDEX(tsk_Duration,AssignmentTable[[#This Row],[_TaskPos]]))*HoursPerDay*IF(AssignmentTable[[#This Row],[Units]]="",DefaultUnits,AssignmentTable[[#This Row],[Units]]),0)</f>
        <v>0</v>
      </c>
      <c r="G53" s="97" t="n">
        <f aca="false">IF(AssignmentTable[[#This Row],[Work]]=0,0,AssignmentTable[[#This Row],[Work]]*IFERROR(INDEX(res_Rate,MATCH(AssignmentTable[[#This Row],[Resource]],res_Name,0)),0))</f>
        <v>0</v>
      </c>
      <c r="H5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41" t="n">
        <f aca="false">IF(N(AssignmentTable[[#This Row],[Task UID]])=0,0,IFERROR(MATCH(AssignmentTable[[#This Row],[Task UID]],tsk_UID,0),-1))</f>
        <v>0</v>
      </c>
      <c r="J53" s="41" t="n">
        <f aca="false">IF(AND(AssignmentTable[[#This Row],[_TaskPos]]&gt;0,AssignmentTable[[#This Row],[Resource]]&lt;&gt;"",AssignmentTable[[#This Row],[Check]]=""),1,0)</f>
        <v>0</v>
      </c>
      <c r="K53" s="41" t="str">
        <f aca="false">IF(AssignmentTable[[#This Row],[_Valid]]=1,AssignmentTable[[#This Row],[Task UID]]*1000+COUNTIFS(AssignmentTable[[#Headers],[Task UID]]:AssignmentTable[[#This Row],[Task UID]],AssignmentTable[[#This Row],[Task UID]],AssignmentTable[[#Headers],[_Valid]]:AssignmentTable[[#This Row],[_Valid]],1),"")</f>
        <v/>
      </c>
      <c r="L53" s="41" t="str">
        <f aca="false">IF(AssignmentTable[[#This Row],[_Valid]]=1,AssignmentTable[[#This Row],[Resource]]&amp;IF(OR(AssignmentTable[[#This Row],[Units]]="",AssignmentTable[[#This Row],[Units]]=1),"","["&amp;ROUND(AssignmentTable[[#This Row],[Units]]*100,0)&amp;"%]"),"")</f>
        <v/>
      </c>
      <c r="M53" s="41" t="n">
        <f aca="false">IF(AssignmentTable[[#This Row],[_Valid]]=1,N(INDEX(tsk_StartWD,AssignmentTable[[#This Row],[_TaskPos]])),0)</f>
        <v>0</v>
      </c>
      <c r="N53" s="41" t="n">
        <f aca="false">IF(AssignmentTable[[#This Row],[_Valid]]=1,N(INDEX(tsk_FinishWD,AssignmentTable[[#This Row],[_TaskPos]])),0)</f>
        <v>0</v>
      </c>
      <c r="O53" s="41" t="n">
        <f aca="false">IF(OR(AssignmentTable[[#This Row],[Work]]=0,AssignmentTable[[#This Row],[_FinishWD]]=0),0,AssignmentTable[[#This Row],[Work]]/(AssignmentTable[[#This Row],[_FinishWD]]-AssignmentTable[[#This Row],[_StartWD]]+1))</f>
        <v>0</v>
      </c>
      <c r="P53" s="41" t="n">
        <f aca="false">AssignmentTable[[#This Row],[_WorkPerWD]]*MAX(0,AssignmentTable[[#This Row],[_StartWD]]-1)</f>
        <v>0</v>
      </c>
      <c r="Q53" s="41" t="n">
        <f aca="false">IF(AssignmentTable[[#This Row],[_Valid]]=1,AssignmentTable[[#This Row],[Work]]*N(INDEX(tsk_LeafProgress,AssignmentTable[[#This Row],[_TaskPos]])),0)</f>
        <v>0</v>
      </c>
      <c r="R53" s="41" t="n">
        <f aca="false">IF(NOT(AssignmentTable[[#This Row],[_Valid]]=1),0,IF(N(INDEX(tsk_LeafTotalCost,AssignmentTable[[#This Row],[_TaskPos]]))=0,0,N(INDEX(tsk_LeafAC,AssignmentTable[[#This Row],[_TaskPos]]))*AssignmentTable[[#This Row],[Cost]]/INDEX(tsk_LeafTotalCost,AssignmentTable[[#This Row],[_TaskPos]])))</f>
        <v>0</v>
      </c>
      <c r="S53" s="41" t="n">
        <f aca="false">IF(NOT(AssignmentTable[[#This Row],[_Valid]]=1),0,IF(N(INDEX(tsk_LateKey,AssignmentTable[[#This Row],[_TaskPos]]))&gt;0,1,0))</f>
        <v>0</v>
      </c>
      <c r="T53" s="41" t="n">
        <f aca="false">IF(NOT(AssignmentTable[[#This Row],[_Valid]]=1),0,IF(INDEX(tsk_Critical,AssignmentTable[[#This Row],[_TaskPos]])="Yes",1,0))</f>
        <v>0</v>
      </c>
      <c r="U5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29"/>
      <c r="C54" s="24" t="str">
        <f aca="false">IF(AssignmentTable[[#This Row],[_TaskPos]]&lt;=0,"",INDEX(tsk_Name,AssignmentTable[[#This Row],[_TaskPos]])&amp;"")</f>
        <v/>
      </c>
      <c r="D54" s="30"/>
      <c r="E54" s="80"/>
      <c r="F54" s="96" t="n">
        <f aca="false">IF(AssignmentTable[[#This Row],[_Valid]]=1,N(INDEX(tsk_Duration,AssignmentTable[[#This Row],[_TaskPos]]))*HoursPerDay*IF(AssignmentTable[[#This Row],[Units]]="",DefaultUnits,AssignmentTable[[#This Row],[Units]]),0)</f>
        <v>0</v>
      </c>
      <c r="G54" s="97" t="n">
        <f aca="false">IF(AssignmentTable[[#This Row],[Work]]=0,0,AssignmentTable[[#This Row],[Work]]*IFERROR(INDEX(res_Rate,MATCH(AssignmentTable[[#This Row],[Resource]],res_Name,0)),0))</f>
        <v>0</v>
      </c>
      <c r="H5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41" t="n">
        <f aca="false">IF(N(AssignmentTable[[#This Row],[Task UID]])=0,0,IFERROR(MATCH(AssignmentTable[[#This Row],[Task UID]],tsk_UID,0),-1))</f>
        <v>0</v>
      </c>
      <c r="J54" s="41" t="n">
        <f aca="false">IF(AND(AssignmentTable[[#This Row],[_TaskPos]]&gt;0,AssignmentTable[[#This Row],[Resource]]&lt;&gt;"",AssignmentTable[[#This Row],[Check]]=""),1,0)</f>
        <v>0</v>
      </c>
      <c r="K54" s="41" t="str">
        <f aca="false">IF(AssignmentTable[[#This Row],[_Valid]]=1,AssignmentTable[[#This Row],[Task UID]]*1000+COUNTIFS(AssignmentTable[[#Headers],[Task UID]]:AssignmentTable[[#This Row],[Task UID]],AssignmentTable[[#This Row],[Task UID]],AssignmentTable[[#Headers],[_Valid]]:AssignmentTable[[#This Row],[_Valid]],1),"")</f>
        <v/>
      </c>
      <c r="L54" s="41" t="str">
        <f aca="false">IF(AssignmentTable[[#This Row],[_Valid]]=1,AssignmentTable[[#This Row],[Resource]]&amp;IF(OR(AssignmentTable[[#This Row],[Units]]="",AssignmentTable[[#This Row],[Units]]=1),"","["&amp;ROUND(AssignmentTable[[#This Row],[Units]]*100,0)&amp;"%]"),"")</f>
        <v/>
      </c>
      <c r="M54" s="41" t="n">
        <f aca="false">IF(AssignmentTable[[#This Row],[_Valid]]=1,N(INDEX(tsk_StartWD,AssignmentTable[[#This Row],[_TaskPos]])),0)</f>
        <v>0</v>
      </c>
      <c r="N54" s="41" t="n">
        <f aca="false">IF(AssignmentTable[[#This Row],[_Valid]]=1,N(INDEX(tsk_FinishWD,AssignmentTable[[#This Row],[_TaskPos]])),0)</f>
        <v>0</v>
      </c>
      <c r="O54" s="41" t="n">
        <f aca="false">IF(OR(AssignmentTable[[#This Row],[Work]]=0,AssignmentTable[[#This Row],[_FinishWD]]=0),0,AssignmentTable[[#This Row],[Work]]/(AssignmentTable[[#This Row],[_FinishWD]]-AssignmentTable[[#This Row],[_StartWD]]+1))</f>
        <v>0</v>
      </c>
      <c r="P54" s="41" t="n">
        <f aca="false">AssignmentTable[[#This Row],[_WorkPerWD]]*MAX(0,AssignmentTable[[#This Row],[_StartWD]]-1)</f>
        <v>0</v>
      </c>
      <c r="Q54" s="41" t="n">
        <f aca="false">IF(AssignmentTable[[#This Row],[_Valid]]=1,AssignmentTable[[#This Row],[Work]]*N(INDEX(tsk_LeafProgress,AssignmentTable[[#This Row],[_TaskPos]])),0)</f>
        <v>0</v>
      </c>
      <c r="R54" s="41" t="n">
        <f aca="false">IF(NOT(AssignmentTable[[#This Row],[_Valid]]=1),0,IF(N(INDEX(tsk_LeafTotalCost,AssignmentTable[[#This Row],[_TaskPos]]))=0,0,N(INDEX(tsk_LeafAC,AssignmentTable[[#This Row],[_TaskPos]]))*AssignmentTable[[#This Row],[Cost]]/INDEX(tsk_LeafTotalCost,AssignmentTable[[#This Row],[_TaskPos]])))</f>
        <v>0</v>
      </c>
      <c r="S54" s="41" t="n">
        <f aca="false">IF(NOT(AssignmentTable[[#This Row],[_Valid]]=1),0,IF(N(INDEX(tsk_LateKey,AssignmentTable[[#This Row],[_TaskPos]]))&gt;0,1,0))</f>
        <v>0</v>
      </c>
      <c r="T54" s="41" t="n">
        <f aca="false">IF(NOT(AssignmentTable[[#This Row],[_Valid]]=1),0,IF(INDEX(tsk_Critical,AssignmentTable[[#This Row],[_TaskPos]])="Yes",1,0))</f>
        <v>0</v>
      </c>
      <c r="U5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29"/>
      <c r="C55" s="24" t="str">
        <f aca="false">IF(AssignmentTable[[#This Row],[_TaskPos]]&lt;=0,"",INDEX(tsk_Name,AssignmentTable[[#This Row],[_TaskPos]])&amp;"")</f>
        <v/>
      </c>
      <c r="D55" s="30"/>
      <c r="E55" s="80"/>
      <c r="F55" s="96" t="n">
        <f aca="false">IF(AssignmentTable[[#This Row],[_Valid]]=1,N(INDEX(tsk_Duration,AssignmentTable[[#This Row],[_TaskPos]]))*HoursPerDay*IF(AssignmentTable[[#This Row],[Units]]="",DefaultUnits,AssignmentTable[[#This Row],[Units]]),0)</f>
        <v>0</v>
      </c>
      <c r="G55" s="97" t="n">
        <f aca="false">IF(AssignmentTable[[#This Row],[Work]]=0,0,AssignmentTable[[#This Row],[Work]]*IFERROR(INDEX(res_Rate,MATCH(AssignmentTable[[#This Row],[Resource]],res_Name,0)),0))</f>
        <v>0</v>
      </c>
      <c r="H5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41" t="n">
        <f aca="false">IF(N(AssignmentTable[[#This Row],[Task UID]])=0,0,IFERROR(MATCH(AssignmentTable[[#This Row],[Task UID]],tsk_UID,0),-1))</f>
        <v>0</v>
      </c>
      <c r="J55" s="41" t="n">
        <f aca="false">IF(AND(AssignmentTable[[#This Row],[_TaskPos]]&gt;0,AssignmentTable[[#This Row],[Resource]]&lt;&gt;"",AssignmentTable[[#This Row],[Check]]=""),1,0)</f>
        <v>0</v>
      </c>
      <c r="K55" s="41" t="str">
        <f aca="false">IF(AssignmentTable[[#This Row],[_Valid]]=1,AssignmentTable[[#This Row],[Task UID]]*1000+COUNTIFS(AssignmentTable[[#Headers],[Task UID]]:AssignmentTable[[#This Row],[Task UID]],AssignmentTable[[#This Row],[Task UID]],AssignmentTable[[#Headers],[_Valid]]:AssignmentTable[[#This Row],[_Valid]],1),"")</f>
        <v/>
      </c>
      <c r="L55" s="41" t="str">
        <f aca="false">IF(AssignmentTable[[#This Row],[_Valid]]=1,AssignmentTable[[#This Row],[Resource]]&amp;IF(OR(AssignmentTable[[#This Row],[Units]]="",AssignmentTable[[#This Row],[Units]]=1),"","["&amp;ROUND(AssignmentTable[[#This Row],[Units]]*100,0)&amp;"%]"),"")</f>
        <v/>
      </c>
      <c r="M55" s="41" t="n">
        <f aca="false">IF(AssignmentTable[[#This Row],[_Valid]]=1,N(INDEX(tsk_StartWD,AssignmentTable[[#This Row],[_TaskPos]])),0)</f>
        <v>0</v>
      </c>
      <c r="N55" s="41" t="n">
        <f aca="false">IF(AssignmentTable[[#This Row],[_Valid]]=1,N(INDEX(tsk_FinishWD,AssignmentTable[[#This Row],[_TaskPos]])),0)</f>
        <v>0</v>
      </c>
      <c r="O55" s="41" t="n">
        <f aca="false">IF(OR(AssignmentTable[[#This Row],[Work]]=0,AssignmentTable[[#This Row],[_FinishWD]]=0),0,AssignmentTable[[#This Row],[Work]]/(AssignmentTable[[#This Row],[_FinishWD]]-AssignmentTable[[#This Row],[_StartWD]]+1))</f>
        <v>0</v>
      </c>
      <c r="P55" s="41" t="n">
        <f aca="false">AssignmentTable[[#This Row],[_WorkPerWD]]*MAX(0,AssignmentTable[[#This Row],[_StartWD]]-1)</f>
        <v>0</v>
      </c>
      <c r="Q55" s="41" t="n">
        <f aca="false">IF(AssignmentTable[[#This Row],[_Valid]]=1,AssignmentTable[[#This Row],[Work]]*N(INDEX(tsk_LeafProgress,AssignmentTable[[#This Row],[_TaskPos]])),0)</f>
        <v>0</v>
      </c>
      <c r="R55" s="41" t="n">
        <f aca="false">IF(NOT(AssignmentTable[[#This Row],[_Valid]]=1),0,IF(N(INDEX(tsk_LeafTotalCost,AssignmentTable[[#This Row],[_TaskPos]]))=0,0,N(INDEX(tsk_LeafAC,AssignmentTable[[#This Row],[_TaskPos]]))*AssignmentTable[[#This Row],[Cost]]/INDEX(tsk_LeafTotalCost,AssignmentTable[[#This Row],[_TaskPos]])))</f>
        <v>0</v>
      </c>
      <c r="S55" s="41" t="n">
        <f aca="false">IF(NOT(AssignmentTable[[#This Row],[_Valid]]=1),0,IF(N(INDEX(tsk_LateKey,AssignmentTable[[#This Row],[_TaskPos]]))&gt;0,1,0))</f>
        <v>0</v>
      </c>
      <c r="T55" s="41" t="n">
        <f aca="false">IF(NOT(AssignmentTable[[#This Row],[_Valid]]=1),0,IF(INDEX(tsk_Critical,AssignmentTable[[#This Row],[_TaskPos]])="Yes",1,0))</f>
        <v>0</v>
      </c>
      <c r="U5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29"/>
      <c r="C56" s="24" t="str">
        <f aca="false">IF(AssignmentTable[[#This Row],[_TaskPos]]&lt;=0,"",INDEX(tsk_Name,AssignmentTable[[#This Row],[_TaskPos]])&amp;"")</f>
        <v/>
      </c>
      <c r="D56" s="30"/>
      <c r="E56" s="80"/>
      <c r="F56" s="96" t="n">
        <f aca="false">IF(AssignmentTable[[#This Row],[_Valid]]=1,N(INDEX(tsk_Duration,AssignmentTable[[#This Row],[_TaskPos]]))*HoursPerDay*IF(AssignmentTable[[#This Row],[Units]]="",DefaultUnits,AssignmentTable[[#This Row],[Units]]),0)</f>
        <v>0</v>
      </c>
      <c r="G56" s="97" t="n">
        <f aca="false">IF(AssignmentTable[[#This Row],[Work]]=0,0,AssignmentTable[[#This Row],[Work]]*IFERROR(INDEX(res_Rate,MATCH(AssignmentTable[[#This Row],[Resource]],res_Name,0)),0))</f>
        <v>0</v>
      </c>
      <c r="H5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41" t="n">
        <f aca="false">IF(N(AssignmentTable[[#This Row],[Task UID]])=0,0,IFERROR(MATCH(AssignmentTable[[#This Row],[Task UID]],tsk_UID,0),-1))</f>
        <v>0</v>
      </c>
      <c r="J56" s="41" t="n">
        <f aca="false">IF(AND(AssignmentTable[[#This Row],[_TaskPos]]&gt;0,AssignmentTable[[#This Row],[Resource]]&lt;&gt;"",AssignmentTable[[#This Row],[Check]]=""),1,0)</f>
        <v>0</v>
      </c>
      <c r="K56" s="41" t="str">
        <f aca="false">IF(AssignmentTable[[#This Row],[_Valid]]=1,AssignmentTable[[#This Row],[Task UID]]*1000+COUNTIFS(AssignmentTable[[#Headers],[Task UID]]:AssignmentTable[[#This Row],[Task UID]],AssignmentTable[[#This Row],[Task UID]],AssignmentTable[[#Headers],[_Valid]]:AssignmentTable[[#This Row],[_Valid]],1),"")</f>
        <v/>
      </c>
      <c r="L56" s="41" t="str">
        <f aca="false">IF(AssignmentTable[[#This Row],[_Valid]]=1,AssignmentTable[[#This Row],[Resource]]&amp;IF(OR(AssignmentTable[[#This Row],[Units]]="",AssignmentTable[[#This Row],[Units]]=1),"","["&amp;ROUND(AssignmentTable[[#This Row],[Units]]*100,0)&amp;"%]"),"")</f>
        <v/>
      </c>
      <c r="M56" s="41" t="n">
        <f aca="false">IF(AssignmentTable[[#This Row],[_Valid]]=1,N(INDEX(tsk_StartWD,AssignmentTable[[#This Row],[_TaskPos]])),0)</f>
        <v>0</v>
      </c>
      <c r="N56" s="41" t="n">
        <f aca="false">IF(AssignmentTable[[#This Row],[_Valid]]=1,N(INDEX(tsk_FinishWD,AssignmentTable[[#This Row],[_TaskPos]])),0)</f>
        <v>0</v>
      </c>
      <c r="O56" s="41" t="n">
        <f aca="false">IF(OR(AssignmentTable[[#This Row],[Work]]=0,AssignmentTable[[#This Row],[_FinishWD]]=0),0,AssignmentTable[[#This Row],[Work]]/(AssignmentTable[[#This Row],[_FinishWD]]-AssignmentTable[[#This Row],[_StartWD]]+1))</f>
        <v>0</v>
      </c>
      <c r="P56" s="41" t="n">
        <f aca="false">AssignmentTable[[#This Row],[_WorkPerWD]]*MAX(0,AssignmentTable[[#This Row],[_StartWD]]-1)</f>
        <v>0</v>
      </c>
      <c r="Q56" s="41" t="n">
        <f aca="false">IF(AssignmentTable[[#This Row],[_Valid]]=1,AssignmentTable[[#This Row],[Work]]*N(INDEX(tsk_LeafProgress,AssignmentTable[[#This Row],[_TaskPos]])),0)</f>
        <v>0</v>
      </c>
      <c r="R56" s="41" t="n">
        <f aca="false">IF(NOT(AssignmentTable[[#This Row],[_Valid]]=1),0,IF(N(INDEX(tsk_LeafTotalCost,AssignmentTable[[#This Row],[_TaskPos]]))=0,0,N(INDEX(tsk_LeafAC,AssignmentTable[[#This Row],[_TaskPos]]))*AssignmentTable[[#This Row],[Cost]]/INDEX(tsk_LeafTotalCost,AssignmentTable[[#This Row],[_TaskPos]])))</f>
        <v>0</v>
      </c>
      <c r="S56" s="41" t="n">
        <f aca="false">IF(NOT(AssignmentTable[[#This Row],[_Valid]]=1),0,IF(N(INDEX(tsk_LateKey,AssignmentTable[[#This Row],[_TaskPos]]))&gt;0,1,0))</f>
        <v>0</v>
      </c>
      <c r="T56" s="41" t="n">
        <f aca="false">IF(NOT(AssignmentTable[[#This Row],[_Valid]]=1),0,IF(INDEX(tsk_Critical,AssignmentTable[[#This Row],[_TaskPos]])="Yes",1,0))</f>
        <v>0</v>
      </c>
      <c r="U5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29"/>
      <c r="C57" s="24" t="str">
        <f aca="false">IF(AssignmentTable[[#This Row],[_TaskPos]]&lt;=0,"",INDEX(tsk_Name,AssignmentTable[[#This Row],[_TaskPos]])&amp;"")</f>
        <v/>
      </c>
      <c r="D57" s="30"/>
      <c r="E57" s="80"/>
      <c r="F57" s="96" t="n">
        <f aca="false">IF(AssignmentTable[[#This Row],[_Valid]]=1,N(INDEX(tsk_Duration,AssignmentTable[[#This Row],[_TaskPos]]))*HoursPerDay*IF(AssignmentTable[[#This Row],[Units]]="",DefaultUnits,AssignmentTable[[#This Row],[Units]]),0)</f>
        <v>0</v>
      </c>
      <c r="G57" s="97" t="n">
        <f aca="false">IF(AssignmentTable[[#This Row],[Work]]=0,0,AssignmentTable[[#This Row],[Work]]*IFERROR(INDEX(res_Rate,MATCH(AssignmentTable[[#This Row],[Resource]],res_Name,0)),0))</f>
        <v>0</v>
      </c>
      <c r="H5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41" t="n">
        <f aca="false">IF(N(AssignmentTable[[#This Row],[Task UID]])=0,0,IFERROR(MATCH(AssignmentTable[[#This Row],[Task UID]],tsk_UID,0),-1))</f>
        <v>0</v>
      </c>
      <c r="J57" s="41" t="n">
        <f aca="false">IF(AND(AssignmentTable[[#This Row],[_TaskPos]]&gt;0,AssignmentTable[[#This Row],[Resource]]&lt;&gt;"",AssignmentTable[[#This Row],[Check]]=""),1,0)</f>
        <v>0</v>
      </c>
      <c r="K57" s="41" t="str">
        <f aca="false">IF(AssignmentTable[[#This Row],[_Valid]]=1,AssignmentTable[[#This Row],[Task UID]]*1000+COUNTIFS(AssignmentTable[[#Headers],[Task UID]]:AssignmentTable[[#This Row],[Task UID]],AssignmentTable[[#This Row],[Task UID]],AssignmentTable[[#Headers],[_Valid]]:AssignmentTable[[#This Row],[_Valid]],1),"")</f>
        <v/>
      </c>
      <c r="L57" s="41" t="str">
        <f aca="false">IF(AssignmentTable[[#This Row],[_Valid]]=1,AssignmentTable[[#This Row],[Resource]]&amp;IF(OR(AssignmentTable[[#This Row],[Units]]="",AssignmentTable[[#This Row],[Units]]=1),"","["&amp;ROUND(AssignmentTable[[#This Row],[Units]]*100,0)&amp;"%]"),"")</f>
        <v/>
      </c>
      <c r="M57" s="41" t="n">
        <f aca="false">IF(AssignmentTable[[#This Row],[_Valid]]=1,N(INDEX(tsk_StartWD,AssignmentTable[[#This Row],[_TaskPos]])),0)</f>
        <v>0</v>
      </c>
      <c r="N57" s="41" t="n">
        <f aca="false">IF(AssignmentTable[[#This Row],[_Valid]]=1,N(INDEX(tsk_FinishWD,AssignmentTable[[#This Row],[_TaskPos]])),0)</f>
        <v>0</v>
      </c>
      <c r="O57" s="41" t="n">
        <f aca="false">IF(OR(AssignmentTable[[#This Row],[Work]]=0,AssignmentTable[[#This Row],[_FinishWD]]=0),0,AssignmentTable[[#This Row],[Work]]/(AssignmentTable[[#This Row],[_FinishWD]]-AssignmentTable[[#This Row],[_StartWD]]+1))</f>
        <v>0</v>
      </c>
      <c r="P57" s="41" t="n">
        <f aca="false">AssignmentTable[[#This Row],[_WorkPerWD]]*MAX(0,AssignmentTable[[#This Row],[_StartWD]]-1)</f>
        <v>0</v>
      </c>
      <c r="Q57" s="41" t="n">
        <f aca="false">IF(AssignmentTable[[#This Row],[_Valid]]=1,AssignmentTable[[#This Row],[Work]]*N(INDEX(tsk_LeafProgress,AssignmentTable[[#This Row],[_TaskPos]])),0)</f>
        <v>0</v>
      </c>
      <c r="R57" s="41" t="n">
        <f aca="false">IF(NOT(AssignmentTable[[#This Row],[_Valid]]=1),0,IF(N(INDEX(tsk_LeafTotalCost,AssignmentTable[[#This Row],[_TaskPos]]))=0,0,N(INDEX(tsk_LeafAC,AssignmentTable[[#This Row],[_TaskPos]]))*AssignmentTable[[#This Row],[Cost]]/INDEX(tsk_LeafTotalCost,AssignmentTable[[#This Row],[_TaskPos]])))</f>
        <v>0</v>
      </c>
      <c r="S57" s="41" t="n">
        <f aca="false">IF(NOT(AssignmentTable[[#This Row],[_Valid]]=1),0,IF(N(INDEX(tsk_LateKey,AssignmentTable[[#This Row],[_TaskPos]]))&gt;0,1,0))</f>
        <v>0</v>
      </c>
      <c r="T57" s="41" t="n">
        <f aca="false">IF(NOT(AssignmentTable[[#This Row],[_Valid]]=1),0,IF(INDEX(tsk_Critical,AssignmentTable[[#This Row],[_TaskPos]])="Yes",1,0))</f>
        <v>0</v>
      </c>
      <c r="U5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29"/>
      <c r="C58" s="24" t="str">
        <f aca="false">IF(AssignmentTable[[#This Row],[_TaskPos]]&lt;=0,"",INDEX(tsk_Name,AssignmentTable[[#This Row],[_TaskPos]])&amp;"")</f>
        <v/>
      </c>
      <c r="D58" s="30"/>
      <c r="E58" s="80"/>
      <c r="F58" s="96" t="n">
        <f aca="false">IF(AssignmentTable[[#This Row],[_Valid]]=1,N(INDEX(tsk_Duration,AssignmentTable[[#This Row],[_TaskPos]]))*HoursPerDay*IF(AssignmentTable[[#This Row],[Units]]="",DefaultUnits,AssignmentTable[[#This Row],[Units]]),0)</f>
        <v>0</v>
      </c>
      <c r="G58" s="97" t="n">
        <f aca="false">IF(AssignmentTable[[#This Row],[Work]]=0,0,AssignmentTable[[#This Row],[Work]]*IFERROR(INDEX(res_Rate,MATCH(AssignmentTable[[#This Row],[Resource]],res_Name,0)),0))</f>
        <v>0</v>
      </c>
      <c r="H5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41" t="n">
        <f aca="false">IF(N(AssignmentTable[[#This Row],[Task UID]])=0,0,IFERROR(MATCH(AssignmentTable[[#This Row],[Task UID]],tsk_UID,0),-1))</f>
        <v>0</v>
      </c>
      <c r="J58" s="41" t="n">
        <f aca="false">IF(AND(AssignmentTable[[#This Row],[_TaskPos]]&gt;0,AssignmentTable[[#This Row],[Resource]]&lt;&gt;"",AssignmentTable[[#This Row],[Check]]=""),1,0)</f>
        <v>0</v>
      </c>
      <c r="K58" s="41" t="str">
        <f aca="false">IF(AssignmentTable[[#This Row],[_Valid]]=1,AssignmentTable[[#This Row],[Task UID]]*1000+COUNTIFS(AssignmentTable[[#Headers],[Task UID]]:AssignmentTable[[#This Row],[Task UID]],AssignmentTable[[#This Row],[Task UID]],AssignmentTable[[#Headers],[_Valid]]:AssignmentTable[[#This Row],[_Valid]],1),"")</f>
        <v/>
      </c>
      <c r="L58" s="41" t="str">
        <f aca="false">IF(AssignmentTable[[#This Row],[_Valid]]=1,AssignmentTable[[#This Row],[Resource]]&amp;IF(OR(AssignmentTable[[#This Row],[Units]]="",AssignmentTable[[#This Row],[Units]]=1),"","["&amp;ROUND(AssignmentTable[[#This Row],[Units]]*100,0)&amp;"%]"),"")</f>
        <v/>
      </c>
      <c r="M58" s="41" t="n">
        <f aca="false">IF(AssignmentTable[[#This Row],[_Valid]]=1,N(INDEX(tsk_StartWD,AssignmentTable[[#This Row],[_TaskPos]])),0)</f>
        <v>0</v>
      </c>
      <c r="N58" s="41" t="n">
        <f aca="false">IF(AssignmentTable[[#This Row],[_Valid]]=1,N(INDEX(tsk_FinishWD,AssignmentTable[[#This Row],[_TaskPos]])),0)</f>
        <v>0</v>
      </c>
      <c r="O58" s="41" t="n">
        <f aca="false">IF(OR(AssignmentTable[[#This Row],[Work]]=0,AssignmentTable[[#This Row],[_FinishWD]]=0),0,AssignmentTable[[#This Row],[Work]]/(AssignmentTable[[#This Row],[_FinishWD]]-AssignmentTable[[#This Row],[_StartWD]]+1))</f>
        <v>0</v>
      </c>
      <c r="P58" s="41" t="n">
        <f aca="false">AssignmentTable[[#This Row],[_WorkPerWD]]*MAX(0,AssignmentTable[[#This Row],[_StartWD]]-1)</f>
        <v>0</v>
      </c>
      <c r="Q58" s="41" t="n">
        <f aca="false">IF(AssignmentTable[[#This Row],[_Valid]]=1,AssignmentTable[[#This Row],[Work]]*N(INDEX(tsk_LeafProgress,AssignmentTable[[#This Row],[_TaskPos]])),0)</f>
        <v>0</v>
      </c>
      <c r="R58" s="41" t="n">
        <f aca="false">IF(NOT(AssignmentTable[[#This Row],[_Valid]]=1),0,IF(N(INDEX(tsk_LeafTotalCost,AssignmentTable[[#This Row],[_TaskPos]]))=0,0,N(INDEX(tsk_LeafAC,AssignmentTable[[#This Row],[_TaskPos]]))*AssignmentTable[[#This Row],[Cost]]/INDEX(tsk_LeafTotalCost,AssignmentTable[[#This Row],[_TaskPos]])))</f>
        <v>0</v>
      </c>
      <c r="S58" s="41" t="n">
        <f aca="false">IF(NOT(AssignmentTable[[#This Row],[_Valid]]=1),0,IF(N(INDEX(tsk_LateKey,AssignmentTable[[#This Row],[_TaskPos]]))&gt;0,1,0))</f>
        <v>0</v>
      </c>
      <c r="T58" s="41" t="n">
        <f aca="false">IF(NOT(AssignmentTable[[#This Row],[_Valid]]=1),0,IF(INDEX(tsk_Critical,AssignmentTable[[#This Row],[_TaskPos]])="Yes",1,0))</f>
        <v>0</v>
      </c>
      <c r="U5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29"/>
      <c r="C59" s="24" t="str">
        <f aca="false">IF(AssignmentTable[[#This Row],[_TaskPos]]&lt;=0,"",INDEX(tsk_Name,AssignmentTable[[#This Row],[_TaskPos]])&amp;"")</f>
        <v/>
      </c>
      <c r="D59" s="30"/>
      <c r="E59" s="80"/>
      <c r="F59" s="96" t="n">
        <f aca="false">IF(AssignmentTable[[#This Row],[_Valid]]=1,N(INDEX(tsk_Duration,AssignmentTable[[#This Row],[_TaskPos]]))*HoursPerDay*IF(AssignmentTable[[#This Row],[Units]]="",DefaultUnits,AssignmentTable[[#This Row],[Units]]),0)</f>
        <v>0</v>
      </c>
      <c r="G59" s="97" t="n">
        <f aca="false">IF(AssignmentTable[[#This Row],[Work]]=0,0,AssignmentTable[[#This Row],[Work]]*IFERROR(INDEX(res_Rate,MATCH(AssignmentTable[[#This Row],[Resource]],res_Name,0)),0))</f>
        <v>0</v>
      </c>
      <c r="H5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41" t="n">
        <f aca="false">IF(N(AssignmentTable[[#This Row],[Task UID]])=0,0,IFERROR(MATCH(AssignmentTable[[#This Row],[Task UID]],tsk_UID,0),-1))</f>
        <v>0</v>
      </c>
      <c r="J59" s="41" t="n">
        <f aca="false">IF(AND(AssignmentTable[[#This Row],[_TaskPos]]&gt;0,AssignmentTable[[#This Row],[Resource]]&lt;&gt;"",AssignmentTable[[#This Row],[Check]]=""),1,0)</f>
        <v>0</v>
      </c>
      <c r="K59" s="41" t="str">
        <f aca="false">IF(AssignmentTable[[#This Row],[_Valid]]=1,AssignmentTable[[#This Row],[Task UID]]*1000+COUNTIFS(AssignmentTable[[#Headers],[Task UID]]:AssignmentTable[[#This Row],[Task UID]],AssignmentTable[[#This Row],[Task UID]],AssignmentTable[[#Headers],[_Valid]]:AssignmentTable[[#This Row],[_Valid]],1),"")</f>
        <v/>
      </c>
      <c r="L59" s="41" t="str">
        <f aca="false">IF(AssignmentTable[[#This Row],[_Valid]]=1,AssignmentTable[[#This Row],[Resource]]&amp;IF(OR(AssignmentTable[[#This Row],[Units]]="",AssignmentTable[[#This Row],[Units]]=1),"","["&amp;ROUND(AssignmentTable[[#This Row],[Units]]*100,0)&amp;"%]"),"")</f>
        <v/>
      </c>
      <c r="M59" s="41" t="n">
        <f aca="false">IF(AssignmentTable[[#This Row],[_Valid]]=1,N(INDEX(tsk_StartWD,AssignmentTable[[#This Row],[_TaskPos]])),0)</f>
        <v>0</v>
      </c>
      <c r="N59" s="41" t="n">
        <f aca="false">IF(AssignmentTable[[#This Row],[_Valid]]=1,N(INDEX(tsk_FinishWD,AssignmentTable[[#This Row],[_TaskPos]])),0)</f>
        <v>0</v>
      </c>
      <c r="O59" s="41" t="n">
        <f aca="false">IF(OR(AssignmentTable[[#This Row],[Work]]=0,AssignmentTable[[#This Row],[_FinishWD]]=0),0,AssignmentTable[[#This Row],[Work]]/(AssignmentTable[[#This Row],[_FinishWD]]-AssignmentTable[[#This Row],[_StartWD]]+1))</f>
        <v>0</v>
      </c>
      <c r="P59" s="41" t="n">
        <f aca="false">AssignmentTable[[#This Row],[_WorkPerWD]]*MAX(0,AssignmentTable[[#This Row],[_StartWD]]-1)</f>
        <v>0</v>
      </c>
      <c r="Q59" s="41" t="n">
        <f aca="false">IF(AssignmentTable[[#This Row],[_Valid]]=1,AssignmentTable[[#This Row],[Work]]*N(INDEX(tsk_LeafProgress,AssignmentTable[[#This Row],[_TaskPos]])),0)</f>
        <v>0</v>
      </c>
      <c r="R59" s="41" t="n">
        <f aca="false">IF(NOT(AssignmentTable[[#This Row],[_Valid]]=1),0,IF(N(INDEX(tsk_LeafTotalCost,AssignmentTable[[#This Row],[_TaskPos]]))=0,0,N(INDEX(tsk_LeafAC,AssignmentTable[[#This Row],[_TaskPos]]))*AssignmentTable[[#This Row],[Cost]]/INDEX(tsk_LeafTotalCost,AssignmentTable[[#This Row],[_TaskPos]])))</f>
        <v>0</v>
      </c>
      <c r="S59" s="41" t="n">
        <f aca="false">IF(NOT(AssignmentTable[[#This Row],[_Valid]]=1),0,IF(N(INDEX(tsk_LateKey,AssignmentTable[[#This Row],[_TaskPos]]))&gt;0,1,0))</f>
        <v>0</v>
      </c>
      <c r="T59" s="41" t="n">
        <f aca="false">IF(NOT(AssignmentTable[[#This Row],[_Valid]]=1),0,IF(INDEX(tsk_Critical,AssignmentTable[[#This Row],[_TaskPos]])="Yes",1,0))</f>
        <v>0</v>
      </c>
      <c r="U5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29"/>
      <c r="C60" s="24" t="str">
        <f aca="false">IF(AssignmentTable[[#This Row],[_TaskPos]]&lt;=0,"",INDEX(tsk_Name,AssignmentTable[[#This Row],[_TaskPos]])&amp;"")</f>
        <v/>
      </c>
      <c r="D60" s="30"/>
      <c r="E60" s="80"/>
      <c r="F60" s="96" t="n">
        <f aca="false">IF(AssignmentTable[[#This Row],[_Valid]]=1,N(INDEX(tsk_Duration,AssignmentTable[[#This Row],[_TaskPos]]))*HoursPerDay*IF(AssignmentTable[[#This Row],[Units]]="",DefaultUnits,AssignmentTable[[#This Row],[Units]]),0)</f>
        <v>0</v>
      </c>
      <c r="G60" s="97" t="n">
        <f aca="false">IF(AssignmentTable[[#This Row],[Work]]=0,0,AssignmentTable[[#This Row],[Work]]*IFERROR(INDEX(res_Rate,MATCH(AssignmentTable[[#This Row],[Resource]],res_Name,0)),0))</f>
        <v>0</v>
      </c>
      <c r="H6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41" t="n">
        <f aca="false">IF(N(AssignmentTable[[#This Row],[Task UID]])=0,0,IFERROR(MATCH(AssignmentTable[[#This Row],[Task UID]],tsk_UID,0),-1))</f>
        <v>0</v>
      </c>
      <c r="J60" s="41" t="n">
        <f aca="false">IF(AND(AssignmentTable[[#This Row],[_TaskPos]]&gt;0,AssignmentTable[[#This Row],[Resource]]&lt;&gt;"",AssignmentTable[[#This Row],[Check]]=""),1,0)</f>
        <v>0</v>
      </c>
      <c r="K60" s="41" t="str">
        <f aca="false">IF(AssignmentTable[[#This Row],[_Valid]]=1,AssignmentTable[[#This Row],[Task UID]]*1000+COUNTIFS(AssignmentTable[[#Headers],[Task UID]]:AssignmentTable[[#This Row],[Task UID]],AssignmentTable[[#This Row],[Task UID]],AssignmentTable[[#Headers],[_Valid]]:AssignmentTable[[#This Row],[_Valid]],1),"")</f>
        <v/>
      </c>
      <c r="L60" s="41" t="str">
        <f aca="false">IF(AssignmentTable[[#This Row],[_Valid]]=1,AssignmentTable[[#This Row],[Resource]]&amp;IF(OR(AssignmentTable[[#This Row],[Units]]="",AssignmentTable[[#This Row],[Units]]=1),"","["&amp;ROUND(AssignmentTable[[#This Row],[Units]]*100,0)&amp;"%]"),"")</f>
        <v/>
      </c>
      <c r="M60" s="41" t="n">
        <f aca="false">IF(AssignmentTable[[#This Row],[_Valid]]=1,N(INDEX(tsk_StartWD,AssignmentTable[[#This Row],[_TaskPos]])),0)</f>
        <v>0</v>
      </c>
      <c r="N60" s="41" t="n">
        <f aca="false">IF(AssignmentTable[[#This Row],[_Valid]]=1,N(INDEX(tsk_FinishWD,AssignmentTable[[#This Row],[_TaskPos]])),0)</f>
        <v>0</v>
      </c>
      <c r="O60" s="41" t="n">
        <f aca="false">IF(OR(AssignmentTable[[#This Row],[Work]]=0,AssignmentTable[[#This Row],[_FinishWD]]=0),0,AssignmentTable[[#This Row],[Work]]/(AssignmentTable[[#This Row],[_FinishWD]]-AssignmentTable[[#This Row],[_StartWD]]+1))</f>
        <v>0</v>
      </c>
      <c r="P60" s="41" t="n">
        <f aca="false">AssignmentTable[[#This Row],[_WorkPerWD]]*MAX(0,AssignmentTable[[#This Row],[_StartWD]]-1)</f>
        <v>0</v>
      </c>
      <c r="Q60" s="41" t="n">
        <f aca="false">IF(AssignmentTable[[#This Row],[_Valid]]=1,AssignmentTable[[#This Row],[Work]]*N(INDEX(tsk_LeafProgress,AssignmentTable[[#This Row],[_TaskPos]])),0)</f>
        <v>0</v>
      </c>
      <c r="R60" s="41" t="n">
        <f aca="false">IF(NOT(AssignmentTable[[#This Row],[_Valid]]=1),0,IF(N(INDEX(tsk_LeafTotalCost,AssignmentTable[[#This Row],[_TaskPos]]))=0,0,N(INDEX(tsk_LeafAC,AssignmentTable[[#This Row],[_TaskPos]]))*AssignmentTable[[#This Row],[Cost]]/INDEX(tsk_LeafTotalCost,AssignmentTable[[#This Row],[_TaskPos]])))</f>
        <v>0</v>
      </c>
      <c r="S60" s="41" t="n">
        <f aca="false">IF(NOT(AssignmentTable[[#This Row],[_Valid]]=1),0,IF(N(INDEX(tsk_LateKey,AssignmentTable[[#This Row],[_TaskPos]]))&gt;0,1,0))</f>
        <v>0</v>
      </c>
      <c r="T60" s="41" t="n">
        <f aca="false">IF(NOT(AssignmentTable[[#This Row],[_Valid]]=1),0,IF(INDEX(tsk_Critical,AssignmentTable[[#This Row],[_TaskPos]])="Yes",1,0))</f>
        <v>0</v>
      </c>
      <c r="U6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29"/>
      <c r="C61" s="24" t="str">
        <f aca="false">IF(AssignmentTable[[#This Row],[_TaskPos]]&lt;=0,"",INDEX(tsk_Name,AssignmentTable[[#This Row],[_TaskPos]])&amp;"")</f>
        <v/>
      </c>
      <c r="D61" s="30"/>
      <c r="E61" s="80"/>
      <c r="F61" s="96" t="n">
        <f aca="false">IF(AssignmentTable[[#This Row],[_Valid]]=1,N(INDEX(tsk_Duration,AssignmentTable[[#This Row],[_TaskPos]]))*HoursPerDay*IF(AssignmentTable[[#This Row],[Units]]="",DefaultUnits,AssignmentTable[[#This Row],[Units]]),0)</f>
        <v>0</v>
      </c>
      <c r="G61" s="97" t="n">
        <f aca="false">IF(AssignmentTable[[#This Row],[Work]]=0,0,AssignmentTable[[#This Row],[Work]]*IFERROR(INDEX(res_Rate,MATCH(AssignmentTable[[#This Row],[Resource]],res_Name,0)),0))</f>
        <v>0</v>
      </c>
      <c r="H6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41" t="n">
        <f aca="false">IF(N(AssignmentTable[[#This Row],[Task UID]])=0,0,IFERROR(MATCH(AssignmentTable[[#This Row],[Task UID]],tsk_UID,0),-1))</f>
        <v>0</v>
      </c>
      <c r="J61" s="41" t="n">
        <f aca="false">IF(AND(AssignmentTable[[#This Row],[_TaskPos]]&gt;0,AssignmentTable[[#This Row],[Resource]]&lt;&gt;"",AssignmentTable[[#This Row],[Check]]=""),1,0)</f>
        <v>0</v>
      </c>
      <c r="K61" s="41" t="str">
        <f aca="false">IF(AssignmentTable[[#This Row],[_Valid]]=1,AssignmentTable[[#This Row],[Task UID]]*1000+COUNTIFS(AssignmentTable[[#Headers],[Task UID]]:AssignmentTable[[#This Row],[Task UID]],AssignmentTable[[#This Row],[Task UID]],AssignmentTable[[#Headers],[_Valid]]:AssignmentTable[[#This Row],[_Valid]],1),"")</f>
        <v/>
      </c>
      <c r="L61" s="41" t="str">
        <f aca="false">IF(AssignmentTable[[#This Row],[_Valid]]=1,AssignmentTable[[#This Row],[Resource]]&amp;IF(OR(AssignmentTable[[#This Row],[Units]]="",AssignmentTable[[#This Row],[Units]]=1),"","["&amp;ROUND(AssignmentTable[[#This Row],[Units]]*100,0)&amp;"%]"),"")</f>
        <v/>
      </c>
      <c r="M61" s="41" t="n">
        <f aca="false">IF(AssignmentTable[[#This Row],[_Valid]]=1,N(INDEX(tsk_StartWD,AssignmentTable[[#This Row],[_TaskPos]])),0)</f>
        <v>0</v>
      </c>
      <c r="N61" s="41" t="n">
        <f aca="false">IF(AssignmentTable[[#This Row],[_Valid]]=1,N(INDEX(tsk_FinishWD,AssignmentTable[[#This Row],[_TaskPos]])),0)</f>
        <v>0</v>
      </c>
      <c r="O61" s="41" t="n">
        <f aca="false">IF(OR(AssignmentTable[[#This Row],[Work]]=0,AssignmentTable[[#This Row],[_FinishWD]]=0),0,AssignmentTable[[#This Row],[Work]]/(AssignmentTable[[#This Row],[_FinishWD]]-AssignmentTable[[#This Row],[_StartWD]]+1))</f>
        <v>0</v>
      </c>
      <c r="P61" s="41" t="n">
        <f aca="false">AssignmentTable[[#This Row],[_WorkPerWD]]*MAX(0,AssignmentTable[[#This Row],[_StartWD]]-1)</f>
        <v>0</v>
      </c>
      <c r="Q61" s="41" t="n">
        <f aca="false">IF(AssignmentTable[[#This Row],[_Valid]]=1,AssignmentTable[[#This Row],[Work]]*N(INDEX(tsk_LeafProgress,AssignmentTable[[#This Row],[_TaskPos]])),0)</f>
        <v>0</v>
      </c>
      <c r="R61" s="41" t="n">
        <f aca="false">IF(NOT(AssignmentTable[[#This Row],[_Valid]]=1),0,IF(N(INDEX(tsk_LeafTotalCost,AssignmentTable[[#This Row],[_TaskPos]]))=0,0,N(INDEX(tsk_LeafAC,AssignmentTable[[#This Row],[_TaskPos]]))*AssignmentTable[[#This Row],[Cost]]/INDEX(tsk_LeafTotalCost,AssignmentTable[[#This Row],[_TaskPos]])))</f>
        <v>0</v>
      </c>
      <c r="S61" s="41" t="n">
        <f aca="false">IF(NOT(AssignmentTable[[#This Row],[_Valid]]=1),0,IF(N(INDEX(tsk_LateKey,AssignmentTable[[#This Row],[_TaskPos]]))&gt;0,1,0))</f>
        <v>0</v>
      </c>
      <c r="T61" s="41" t="n">
        <f aca="false">IF(NOT(AssignmentTable[[#This Row],[_Valid]]=1),0,IF(INDEX(tsk_Critical,AssignmentTable[[#This Row],[_TaskPos]])="Yes",1,0))</f>
        <v>0</v>
      </c>
      <c r="U6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29"/>
      <c r="C62" s="24" t="str">
        <f aca="false">IF(AssignmentTable[[#This Row],[_TaskPos]]&lt;=0,"",INDEX(tsk_Name,AssignmentTable[[#This Row],[_TaskPos]])&amp;"")</f>
        <v/>
      </c>
      <c r="D62" s="30"/>
      <c r="E62" s="80"/>
      <c r="F62" s="96" t="n">
        <f aca="false">IF(AssignmentTable[[#This Row],[_Valid]]=1,N(INDEX(tsk_Duration,AssignmentTable[[#This Row],[_TaskPos]]))*HoursPerDay*IF(AssignmentTable[[#This Row],[Units]]="",DefaultUnits,AssignmentTable[[#This Row],[Units]]),0)</f>
        <v>0</v>
      </c>
      <c r="G62" s="97" t="n">
        <f aca="false">IF(AssignmentTable[[#This Row],[Work]]=0,0,AssignmentTable[[#This Row],[Work]]*IFERROR(INDEX(res_Rate,MATCH(AssignmentTable[[#This Row],[Resource]],res_Name,0)),0))</f>
        <v>0</v>
      </c>
      <c r="H6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41" t="n">
        <f aca="false">IF(N(AssignmentTable[[#This Row],[Task UID]])=0,0,IFERROR(MATCH(AssignmentTable[[#This Row],[Task UID]],tsk_UID,0),-1))</f>
        <v>0</v>
      </c>
      <c r="J62" s="41" t="n">
        <f aca="false">IF(AND(AssignmentTable[[#This Row],[_TaskPos]]&gt;0,AssignmentTable[[#This Row],[Resource]]&lt;&gt;"",AssignmentTable[[#This Row],[Check]]=""),1,0)</f>
        <v>0</v>
      </c>
      <c r="K62" s="41" t="str">
        <f aca="false">IF(AssignmentTable[[#This Row],[_Valid]]=1,AssignmentTable[[#This Row],[Task UID]]*1000+COUNTIFS(AssignmentTable[[#Headers],[Task UID]]:AssignmentTable[[#This Row],[Task UID]],AssignmentTable[[#This Row],[Task UID]],AssignmentTable[[#Headers],[_Valid]]:AssignmentTable[[#This Row],[_Valid]],1),"")</f>
        <v/>
      </c>
      <c r="L62" s="41" t="str">
        <f aca="false">IF(AssignmentTable[[#This Row],[_Valid]]=1,AssignmentTable[[#This Row],[Resource]]&amp;IF(OR(AssignmentTable[[#This Row],[Units]]="",AssignmentTable[[#This Row],[Units]]=1),"","["&amp;ROUND(AssignmentTable[[#This Row],[Units]]*100,0)&amp;"%]"),"")</f>
        <v/>
      </c>
      <c r="M62" s="41" t="n">
        <f aca="false">IF(AssignmentTable[[#This Row],[_Valid]]=1,N(INDEX(tsk_StartWD,AssignmentTable[[#This Row],[_TaskPos]])),0)</f>
        <v>0</v>
      </c>
      <c r="N62" s="41" t="n">
        <f aca="false">IF(AssignmentTable[[#This Row],[_Valid]]=1,N(INDEX(tsk_FinishWD,AssignmentTable[[#This Row],[_TaskPos]])),0)</f>
        <v>0</v>
      </c>
      <c r="O62" s="41" t="n">
        <f aca="false">IF(OR(AssignmentTable[[#This Row],[Work]]=0,AssignmentTable[[#This Row],[_FinishWD]]=0),0,AssignmentTable[[#This Row],[Work]]/(AssignmentTable[[#This Row],[_FinishWD]]-AssignmentTable[[#This Row],[_StartWD]]+1))</f>
        <v>0</v>
      </c>
      <c r="P62" s="41" t="n">
        <f aca="false">AssignmentTable[[#This Row],[_WorkPerWD]]*MAX(0,AssignmentTable[[#This Row],[_StartWD]]-1)</f>
        <v>0</v>
      </c>
      <c r="Q62" s="41" t="n">
        <f aca="false">IF(AssignmentTable[[#This Row],[_Valid]]=1,AssignmentTable[[#This Row],[Work]]*N(INDEX(tsk_LeafProgress,AssignmentTable[[#This Row],[_TaskPos]])),0)</f>
        <v>0</v>
      </c>
      <c r="R62" s="41" t="n">
        <f aca="false">IF(NOT(AssignmentTable[[#This Row],[_Valid]]=1),0,IF(N(INDEX(tsk_LeafTotalCost,AssignmentTable[[#This Row],[_TaskPos]]))=0,0,N(INDEX(tsk_LeafAC,AssignmentTable[[#This Row],[_TaskPos]]))*AssignmentTable[[#This Row],[Cost]]/INDEX(tsk_LeafTotalCost,AssignmentTable[[#This Row],[_TaskPos]])))</f>
        <v>0</v>
      </c>
      <c r="S62" s="41" t="n">
        <f aca="false">IF(NOT(AssignmentTable[[#This Row],[_Valid]]=1),0,IF(N(INDEX(tsk_LateKey,AssignmentTable[[#This Row],[_TaskPos]]))&gt;0,1,0))</f>
        <v>0</v>
      </c>
      <c r="T62" s="41" t="n">
        <f aca="false">IF(NOT(AssignmentTable[[#This Row],[_Valid]]=1),0,IF(INDEX(tsk_Critical,AssignmentTable[[#This Row],[_TaskPos]])="Yes",1,0))</f>
        <v>0</v>
      </c>
      <c r="U6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29"/>
      <c r="C63" s="24" t="str">
        <f aca="false">IF(AssignmentTable[[#This Row],[_TaskPos]]&lt;=0,"",INDEX(tsk_Name,AssignmentTable[[#This Row],[_TaskPos]])&amp;"")</f>
        <v/>
      </c>
      <c r="D63" s="30"/>
      <c r="E63" s="80"/>
      <c r="F63" s="96" t="n">
        <f aca="false">IF(AssignmentTable[[#This Row],[_Valid]]=1,N(INDEX(tsk_Duration,AssignmentTable[[#This Row],[_TaskPos]]))*HoursPerDay*IF(AssignmentTable[[#This Row],[Units]]="",DefaultUnits,AssignmentTable[[#This Row],[Units]]),0)</f>
        <v>0</v>
      </c>
      <c r="G63" s="97" t="n">
        <f aca="false">IF(AssignmentTable[[#This Row],[Work]]=0,0,AssignmentTable[[#This Row],[Work]]*IFERROR(INDEX(res_Rate,MATCH(AssignmentTable[[#This Row],[Resource]],res_Name,0)),0))</f>
        <v>0</v>
      </c>
      <c r="H6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41" t="n">
        <f aca="false">IF(N(AssignmentTable[[#This Row],[Task UID]])=0,0,IFERROR(MATCH(AssignmentTable[[#This Row],[Task UID]],tsk_UID,0),-1))</f>
        <v>0</v>
      </c>
      <c r="J63" s="41" t="n">
        <f aca="false">IF(AND(AssignmentTable[[#This Row],[_TaskPos]]&gt;0,AssignmentTable[[#This Row],[Resource]]&lt;&gt;"",AssignmentTable[[#This Row],[Check]]=""),1,0)</f>
        <v>0</v>
      </c>
      <c r="K63" s="41" t="str">
        <f aca="false">IF(AssignmentTable[[#This Row],[_Valid]]=1,AssignmentTable[[#This Row],[Task UID]]*1000+COUNTIFS(AssignmentTable[[#Headers],[Task UID]]:AssignmentTable[[#This Row],[Task UID]],AssignmentTable[[#This Row],[Task UID]],AssignmentTable[[#Headers],[_Valid]]:AssignmentTable[[#This Row],[_Valid]],1),"")</f>
        <v/>
      </c>
      <c r="L63" s="41" t="str">
        <f aca="false">IF(AssignmentTable[[#This Row],[_Valid]]=1,AssignmentTable[[#This Row],[Resource]]&amp;IF(OR(AssignmentTable[[#This Row],[Units]]="",AssignmentTable[[#This Row],[Units]]=1),"","["&amp;ROUND(AssignmentTable[[#This Row],[Units]]*100,0)&amp;"%]"),"")</f>
        <v/>
      </c>
      <c r="M63" s="41" t="n">
        <f aca="false">IF(AssignmentTable[[#This Row],[_Valid]]=1,N(INDEX(tsk_StartWD,AssignmentTable[[#This Row],[_TaskPos]])),0)</f>
        <v>0</v>
      </c>
      <c r="N63" s="41" t="n">
        <f aca="false">IF(AssignmentTable[[#This Row],[_Valid]]=1,N(INDEX(tsk_FinishWD,AssignmentTable[[#This Row],[_TaskPos]])),0)</f>
        <v>0</v>
      </c>
      <c r="O63" s="41" t="n">
        <f aca="false">IF(OR(AssignmentTable[[#This Row],[Work]]=0,AssignmentTable[[#This Row],[_FinishWD]]=0),0,AssignmentTable[[#This Row],[Work]]/(AssignmentTable[[#This Row],[_FinishWD]]-AssignmentTable[[#This Row],[_StartWD]]+1))</f>
        <v>0</v>
      </c>
      <c r="P63" s="41" t="n">
        <f aca="false">AssignmentTable[[#This Row],[_WorkPerWD]]*MAX(0,AssignmentTable[[#This Row],[_StartWD]]-1)</f>
        <v>0</v>
      </c>
      <c r="Q63" s="41" t="n">
        <f aca="false">IF(AssignmentTable[[#This Row],[_Valid]]=1,AssignmentTable[[#This Row],[Work]]*N(INDEX(tsk_LeafProgress,AssignmentTable[[#This Row],[_TaskPos]])),0)</f>
        <v>0</v>
      </c>
      <c r="R63" s="41" t="n">
        <f aca="false">IF(NOT(AssignmentTable[[#This Row],[_Valid]]=1),0,IF(N(INDEX(tsk_LeafTotalCost,AssignmentTable[[#This Row],[_TaskPos]]))=0,0,N(INDEX(tsk_LeafAC,AssignmentTable[[#This Row],[_TaskPos]]))*AssignmentTable[[#This Row],[Cost]]/INDEX(tsk_LeafTotalCost,AssignmentTable[[#This Row],[_TaskPos]])))</f>
        <v>0</v>
      </c>
      <c r="S63" s="41" t="n">
        <f aca="false">IF(NOT(AssignmentTable[[#This Row],[_Valid]]=1),0,IF(N(INDEX(tsk_LateKey,AssignmentTable[[#This Row],[_TaskPos]]))&gt;0,1,0))</f>
        <v>0</v>
      </c>
      <c r="T63" s="41" t="n">
        <f aca="false">IF(NOT(AssignmentTable[[#This Row],[_Valid]]=1),0,IF(INDEX(tsk_Critical,AssignmentTable[[#This Row],[_TaskPos]])="Yes",1,0))</f>
        <v>0</v>
      </c>
      <c r="U6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29"/>
      <c r="C64" s="24" t="str">
        <f aca="false">IF(AssignmentTable[[#This Row],[_TaskPos]]&lt;=0,"",INDEX(tsk_Name,AssignmentTable[[#This Row],[_TaskPos]])&amp;"")</f>
        <v/>
      </c>
      <c r="D64" s="30"/>
      <c r="E64" s="80"/>
      <c r="F64" s="96" t="n">
        <f aca="false">IF(AssignmentTable[[#This Row],[_Valid]]=1,N(INDEX(tsk_Duration,AssignmentTable[[#This Row],[_TaskPos]]))*HoursPerDay*IF(AssignmentTable[[#This Row],[Units]]="",DefaultUnits,AssignmentTable[[#This Row],[Units]]),0)</f>
        <v>0</v>
      </c>
      <c r="G64" s="97" t="n">
        <f aca="false">IF(AssignmentTable[[#This Row],[Work]]=0,0,AssignmentTable[[#This Row],[Work]]*IFERROR(INDEX(res_Rate,MATCH(AssignmentTable[[#This Row],[Resource]],res_Name,0)),0))</f>
        <v>0</v>
      </c>
      <c r="H6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41" t="n">
        <f aca="false">IF(N(AssignmentTable[[#This Row],[Task UID]])=0,0,IFERROR(MATCH(AssignmentTable[[#This Row],[Task UID]],tsk_UID,0),-1))</f>
        <v>0</v>
      </c>
      <c r="J64" s="41" t="n">
        <f aca="false">IF(AND(AssignmentTable[[#This Row],[_TaskPos]]&gt;0,AssignmentTable[[#This Row],[Resource]]&lt;&gt;"",AssignmentTable[[#This Row],[Check]]=""),1,0)</f>
        <v>0</v>
      </c>
      <c r="K64" s="41" t="str">
        <f aca="false">IF(AssignmentTable[[#This Row],[_Valid]]=1,AssignmentTable[[#This Row],[Task UID]]*1000+COUNTIFS(AssignmentTable[[#Headers],[Task UID]]:AssignmentTable[[#This Row],[Task UID]],AssignmentTable[[#This Row],[Task UID]],AssignmentTable[[#Headers],[_Valid]]:AssignmentTable[[#This Row],[_Valid]],1),"")</f>
        <v/>
      </c>
      <c r="L64" s="41" t="str">
        <f aca="false">IF(AssignmentTable[[#This Row],[_Valid]]=1,AssignmentTable[[#This Row],[Resource]]&amp;IF(OR(AssignmentTable[[#This Row],[Units]]="",AssignmentTable[[#This Row],[Units]]=1),"","["&amp;ROUND(AssignmentTable[[#This Row],[Units]]*100,0)&amp;"%]"),"")</f>
        <v/>
      </c>
      <c r="M64" s="41" t="n">
        <f aca="false">IF(AssignmentTable[[#This Row],[_Valid]]=1,N(INDEX(tsk_StartWD,AssignmentTable[[#This Row],[_TaskPos]])),0)</f>
        <v>0</v>
      </c>
      <c r="N64" s="41" t="n">
        <f aca="false">IF(AssignmentTable[[#This Row],[_Valid]]=1,N(INDEX(tsk_FinishWD,AssignmentTable[[#This Row],[_TaskPos]])),0)</f>
        <v>0</v>
      </c>
      <c r="O64" s="41" t="n">
        <f aca="false">IF(OR(AssignmentTable[[#This Row],[Work]]=0,AssignmentTable[[#This Row],[_FinishWD]]=0),0,AssignmentTable[[#This Row],[Work]]/(AssignmentTable[[#This Row],[_FinishWD]]-AssignmentTable[[#This Row],[_StartWD]]+1))</f>
        <v>0</v>
      </c>
      <c r="P64" s="41" t="n">
        <f aca="false">AssignmentTable[[#This Row],[_WorkPerWD]]*MAX(0,AssignmentTable[[#This Row],[_StartWD]]-1)</f>
        <v>0</v>
      </c>
      <c r="Q64" s="41" t="n">
        <f aca="false">IF(AssignmentTable[[#This Row],[_Valid]]=1,AssignmentTable[[#This Row],[Work]]*N(INDEX(tsk_LeafProgress,AssignmentTable[[#This Row],[_TaskPos]])),0)</f>
        <v>0</v>
      </c>
      <c r="R64" s="41" t="n">
        <f aca="false">IF(NOT(AssignmentTable[[#This Row],[_Valid]]=1),0,IF(N(INDEX(tsk_LeafTotalCost,AssignmentTable[[#This Row],[_TaskPos]]))=0,0,N(INDEX(tsk_LeafAC,AssignmentTable[[#This Row],[_TaskPos]]))*AssignmentTable[[#This Row],[Cost]]/INDEX(tsk_LeafTotalCost,AssignmentTable[[#This Row],[_TaskPos]])))</f>
        <v>0</v>
      </c>
      <c r="S64" s="41" t="n">
        <f aca="false">IF(NOT(AssignmentTable[[#This Row],[_Valid]]=1),0,IF(N(INDEX(tsk_LateKey,AssignmentTable[[#This Row],[_TaskPos]]))&gt;0,1,0))</f>
        <v>0</v>
      </c>
      <c r="T64" s="41" t="n">
        <f aca="false">IF(NOT(AssignmentTable[[#This Row],[_Valid]]=1),0,IF(INDEX(tsk_Critical,AssignmentTable[[#This Row],[_TaskPos]])="Yes",1,0))</f>
        <v>0</v>
      </c>
      <c r="U6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29"/>
      <c r="C65" s="24" t="str">
        <f aca="false">IF(AssignmentTable[[#This Row],[_TaskPos]]&lt;=0,"",INDEX(tsk_Name,AssignmentTable[[#This Row],[_TaskPos]])&amp;"")</f>
        <v/>
      </c>
      <c r="D65" s="30"/>
      <c r="E65" s="80"/>
      <c r="F65" s="96" t="n">
        <f aca="false">IF(AssignmentTable[[#This Row],[_Valid]]=1,N(INDEX(tsk_Duration,AssignmentTable[[#This Row],[_TaskPos]]))*HoursPerDay*IF(AssignmentTable[[#This Row],[Units]]="",DefaultUnits,AssignmentTable[[#This Row],[Units]]),0)</f>
        <v>0</v>
      </c>
      <c r="G65" s="97" t="n">
        <f aca="false">IF(AssignmentTable[[#This Row],[Work]]=0,0,AssignmentTable[[#This Row],[Work]]*IFERROR(INDEX(res_Rate,MATCH(AssignmentTable[[#This Row],[Resource]],res_Name,0)),0))</f>
        <v>0</v>
      </c>
      <c r="H6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41" t="n">
        <f aca="false">IF(N(AssignmentTable[[#This Row],[Task UID]])=0,0,IFERROR(MATCH(AssignmentTable[[#This Row],[Task UID]],tsk_UID,0),-1))</f>
        <v>0</v>
      </c>
      <c r="J65" s="41" t="n">
        <f aca="false">IF(AND(AssignmentTable[[#This Row],[_TaskPos]]&gt;0,AssignmentTable[[#This Row],[Resource]]&lt;&gt;"",AssignmentTable[[#This Row],[Check]]=""),1,0)</f>
        <v>0</v>
      </c>
      <c r="K65" s="41" t="str">
        <f aca="false">IF(AssignmentTable[[#This Row],[_Valid]]=1,AssignmentTable[[#This Row],[Task UID]]*1000+COUNTIFS(AssignmentTable[[#Headers],[Task UID]]:AssignmentTable[[#This Row],[Task UID]],AssignmentTable[[#This Row],[Task UID]],AssignmentTable[[#Headers],[_Valid]]:AssignmentTable[[#This Row],[_Valid]],1),"")</f>
        <v/>
      </c>
      <c r="L65" s="41" t="str">
        <f aca="false">IF(AssignmentTable[[#This Row],[_Valid]]=1,AssignmentTable[[#This Row],[Resource]]&amp;IF(OR(AssignmentTable[[#This Row],[Units]]="",AssignmentTable[[#This Row],[Units]]=1),"","["&amp;ROUND(AssignmentTable[[#This Row],[Units]]*100,0)&amp;"%]"),"")</f>
        <v/>
      </c>
      <c r="M65" s="41" t="n">
        <f aca="false">IF(AssignmentTable[[#This Row],[_Valid]]=1,N(INDEX(tsk_StartWD,AssignmentTable[[#This Row],[_TaskPos]])),0)</f>
        <v>0</v>
      </c>
      <c r="N65" s="41" t="n">
        <f aca="false">IF(AssignmentTable[[#This Row],[_Valid]]=1,N(INDEX(tsk_FinishWD,AssignmentTable[[#This Row],[_TaskPos]])),0)</f>
        <v>0</v>
      </c>
      <c r="O65" s="41" t="n">
        <f aca="false">IF(OR(AssignmentTable[[#This Row],[Work]]=0,AssignmentTable[[#This Row],[_FinishWD]]=0),0,AssignmentTable[[#This Row],[Work]]/(AssignmentTable[[#This Row],[_FinishWD]]-AssignmentTable[[#This Row],[_StartWD]]+1))</f>
        <v>0</v>
      </c>
      <c r="P65" s="41" t="n">
        <f aca="false">AssignmentTable[[#This Row],[_WorkPerWD]]*MAX(0,AssignmentTable[[#This Row],[_StartWD]]-1)</f>
        <v>0</v>
      </c>
      <c r="Q65" s="41" t="n">
        <f aca="false">IF(AssignmentTable[[#This Row],[_Valid]]=1,AssignmentTable[[#This Row],[Work]]*N(INDEX(tsk_LeafProgress,AssignmentTable[[#This Row],[_TaskPos]])),0)</f>
        <v>0</v>
      </c>
      <c r="R65" s="41" t="n">
        <f aca="false">IF(NOT(AssignmentTable[[#This Row],[_Valid]]=1),0,IF(N(INDEX(tsk_LeafTotalCost,AssignmentTable[[#This Row],[_TaskPos]]))=0,0,N(INDEX(tsk_LeafAC,AssignmentTable[[#This Row],[_TaskPos]]))*AssignmentTable[[#This Row],[Cost]]/INDEX(tsk_LeafTotalCost,AssignmentTable[[#This Row],[_TaskPos]])))</f>
        <v>0</v>
      </c>
      <c r="S65" s="41" t="n">
        <f aca="false">IF(NOT(AssignmentTable[[#This Row],[_Valid]]=1),0,IF(N(INDEX(tsk_LateKey,AssignmentTable[[#This Row],[_TaskPos]]))&gt;0,1,0))</f>
        <v>0</v>
      </c>
      <c r="T65" s="41" t="n">
        <f aca="false">IF(NOT(AssignmentTable[[#This Row],[_Valid]]=1),0,IF(INDEX(tsk_Critical,AssignmentTable[[#This Row],[_TaskPos]])="Yes",1,0))</f>
        <v>0</v>
      </c>
      <c r="U6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29"/>
      <c r="C66" s="24" t="str">
        <f aca="false">IF(AssignmentTable[[#This Row],[_TaskPos]]&lt;=0,"",INDEX(tsk_Name,AssignmentTable[[#This Row],[_TaskPos]])&amp;"")</f>
        <v/>
      </c>
      <c r="D66" s="30"/>
      <c r="E66" s="80"/>
      <c r="F66" s="96" t="n">
        <f aca="false">IF(AssignmentTable[[#This Row],[_Valid]]=1,N(INDEX(tsk_Duration,AssignmentTable[[#This Row],[_TaskPos]]))*HoursPerDay*IF(AssignmentTable[[#This Row],[Units]]="",DefaultUnits,AssignmentTable[[#This Row],[Units]]),0)</f>
        <v>0</v>
      </c>
      <c r="G66" s="97" t="n">
        <f aca="false">IF(AssignmentTable[[#This Row],[Work]]=0,0,AssignmentTable[[#This Row],[Work]]*IFERROR(INDEX(res_Rate,MATCH(AssignmentTable[[#This Row],[Resource]],res_Name,0)),0))</f>
        <v>0</v>
      </c>
      <c r="H6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41" t="n">
        <f aca="false">IF(N(AssignmentTable[[#This Row],[Task UID]])=0,0,IFERROR(MATCH(AssignmentTable[[#This Row],[Task UID]],tsk_UID,0),-1))</f>
        <v>0</v>
      </c>
      <c r="J66" s="41" t="n">
        <f aca="false">IF(AND(AssignmentTable[[#This Row],[_TaskPos]]&gt;0,AssignmentTable[[#This Row],[Resource]]&lt;&gt;"",AssignmentTable[[#This Row],[Check]]=""),1,0)</f>
        <v>0</v>
      </c>
      <c r="K66" s="41" t="str">
        <f aca="false">IF(AssignmentTable[[#This Row],[_Valid]]=1,AssignmentTable[[#This Row],[Task UID]]*1000+COUNTIFS(AssignmentTable[[#Headers],[Task UID]]:AssignmentTable[[#This Row],[Task UID]],AssignmentTable[[#This Row],[Task UID]],AssignmentTable[[#Headers],[_Valid]]:AssignmentTable[[#This Row],[_Valid]],1),"")</f>
        <v/>
      </c>
      <c r="L66" s="41" t="str">
        <f aca="false">IF(AssignmentTable[[#This Row],[_Valid]]=1,AssignmentTable[[#This Row],[Resource]]&amp;IF(OR(AssignmentTable[[#This Row],[Units]]="",AssignmentTable[[#This Row],[Units]]=1),"","["&amp;ROUND(AssignmentTable[[#This Row],[Units]]*100,0)&amp;"%]"),"")</f>
        <v/>
      </c>
      <c r="M66" s="41" t="n">
        <f aca="false">IF(AssignmentTable[[#This Row],[_Valid]]=1,N(INDEX(tsk_StartWD,AssignmentTable[[#This Row],[_TaskPos]])),0)</f>
        <v>0</v>
      </c>
      <c r="N66" s="41" t="n">
        <f aca="false">IF(AssignmentTable[[#This Row],[_Valid]]=1,N(INDEX(tsk_FinishWD,AssignmentTable[[#This Row],[_TaskPos]])),0)</f>
        <v>0</v>
      </c>
      <c r="O66" s="41" t="n">
        <f aca="false">IF(OR(AssignmentTable[[#This Row],[Work]]=0,AssignmentTable[[#This Row],[_FinishWD]]=0),0,AssignmentTable[[#This Row],[Work]]/(AssignmentTable[[#This Row],[_FinishWD]]-AssignmentTable[[#This Row],[_StartWD]]+1))</f>
        <v>0</v>
      </c>
      <c r="P66" s="41" t="n">
        <f aca="false">AssignmentTable[[#This Row],[_WorkPerWD]]*MAX(0,AssignmentTable[[#This Row],[_StartWD]]-1)</f>
        <v>0</v>
      </c>
      <c r="Q66" s="41" t="n">
        <f aca="false">IF(AssignmentTable[[#This Row],[_Valid]]=1,AssignmentTable[[#This Row],[Work]]*N(INDEX(tsk_LeafProgress,AssignmentTable[[#This Row],[_TaskPos]])),0)</f>
        <v>0</v>
      </c>
      <c r="R66" s="41" t="n">
        <f aca="false">IF(NOT(AssignmentTable[[#This Row],[_Valid]]=1),0,IF(N(INDEX(tsk_LeafTotalCost,AssignmentTable[[#This Row],[_TaskPos]]))=0,0,N(INDEX(tsk_LeafAC,AssignmentTable[[#This Row],[_TaskPos]]))*AssignmentTable[[#This Row],[Cost]]/INDEX(tsk_LeafTotalCost,AssignmentTable[[#This Row],[_TaskPos]])))</f>
        <v>0</v>
      </c>
      <c r="S66" s="41" t="n">
        <f aca="false">IF(NOT(AssignmentTable[[#This Row],[_Valid]]=1),0,IF(N(INDEX(tsk_LateKey,AssignmentTable[[#This Row],[_TaskPos]]))&gt;0,1,0))</f>
        <v>0</v>
      </c>
      <c r="T66" s="41" t="n">
        <f aca="false">IF(NOT(AssignmentTable[[#This Row],[_Valid]]=1),0,IF(INDEX(tsk_Critical,AssignmentTable[[#This Row],[_TaskPos]])="Yes",1,0))</f>
        <v>0</v>
      </c>
      <c r="U6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29"/>
      <c r="C67" s="24" t="str">
        <f aca="false">IF(AssignmentTable[[#This Row],[_TaskPos]]&lt;=0,"",INDEX(tsk_Name,AssignmentTable[[#This Row],[_TaskPos]])&amp;"")</f>
        <v/>
      </c>
      <c r="D67" s="30"/>
      <c r="E67" s="80"/>
      <c r="F67" s="96" t="n">
        <f aca="false">IF(AssignmentTable[[#This Row],[_Valid]]=1,N(INDEX(tsk_Duration,AssignmentTable[[#This Row],[_TaskPos]]))*HoursPerDay*IF(AssignmentTable[[#This Row],[Units]]="",DefaultUnits,AssignmentTable[[#This Row],[Units]]),0)</f>
        <v>0</v>
      </c>
      <c r="G67" s="97" t="n">
        <f aca="false">IF(AssignmentTable[[#This Row],[Work]]=0,0,AssignmentTable[[#This Row],[Work]]*IFERROR(INDEX(res_Rate,MATCH(AssignmentTable[[#This Row],[Resource]],res_Name,0)),0))</f>
        <v>0</v>
      </c>
      <c r="H6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41" t="n">
        <f aca="false">IF(N(AssignmentTable[[#This Row],[Task UID]])=0,0,IFERROR(MATCH(AssignmentTable[[#This Row],[Task UID]],tsk_UID,0),-1))</f>
        <v>0</v>
      </c>
      <c r="J67" s="41" t="n">
        <f aca="false">IF(AND(AssignmentTable[[#This Row],[_TaskPos]]&gt;0,AssignmentTable[[#This Row],[Resource]]&lt;&gt;"",AssignmentTable[[#This Row],[Check]]=""),1,0)</f>
        <v>0</v>
      </c>
      <c r="K67" s="41" t="str">
        <f aca="false">IF(AssignmentTable[[#This Row],[_Valid]]=1,AssignmentTable[[#This Row],[Task UID]]*1000+COUNTIFS(AssignmentTable[[#Headers],[Task UID]]:AssignmentTable[[#This Row],[Task UID]],AssignmentTable[[#This Row],[Task UID]],AssignmentTable[[#Headers],[_Valid]]:AssignmentTable[[#This Row],[_Valid]],1),"")</f>
        <v/>
      </c>
      <c r="L67" s="41" t="str">
        <f aca="false">IF(AssignmentTable[[#This Row],[_Valid]]=1,AssignmentTable[[#This Row],[Resource]]&amp;IF(OR(AssignmentTable[[#This Row],[Units]]="",AssignmentTable[[#This Row],[Units]]=1),"","["&amp;ROUND(AssignmentTable[[#This Row],[Units]]*100,0)&amp;"%]"),"")</f>
        <v/>
      </c>
      <c r="M67" s="41" t="n">
        <f aca="false">IF(AssignmentTable[[#This Row],[_Valid]]=1,N(INDEX(tsk_StartWD,AssignmentTable[[#This Row],[_TaskPos]])),0)</f>
        <v>0</v>
      </c>
      <c r="N67" s="41" t="n">
        <f aca="false">IF(AssignmentTable[[#This Row],[_Valid]]=1,N(INDEX(tsk_FinishWD,AssignmentTable[[#This Row],[_TaskPos]])),0)</f>
        <v>0</v>
      </c>
      <c r="O67" s="41" t="n">
        <f aca="false">IF(OR(AssignmentTable[[#This Row],[Work]]=0,AssignmentTable[[#This Row],[_FinishWD]]=0),0,AssignmentTable[[#This Row],[Work]]/(AssignmentTable[[#This Row],[_FinishWD]]-AssignmentTable[[#This Row],[_StartWD]]+1))</f>
        <v>0</v>
      </c>
      <c r="P67" s="41" t="n">
        <f aca="false">AssignmentTable[[#This Row],[_WorkPerWD]]*MAX(0,AssignmentTable[[#This Row],[_StartWD]]-1)</f>
        <v>0</v>
      </c>
      <c r="Q67" s="41" t="n">
        <f aca="false">IF(AssignmentTable[[#This Row],[_Valid]]=1,AssignmentTable[[#This Row],[Work]]*N(INDEX(tsk_LeafProgress,AssignmentTable[[#This Row],[_TaskPos]])),0)</f>
        <v>0</v>
      </c>
      <c r="R67" s="41" t="n">
        <f aca="false">IF(NOT(AssignmentTable[[#This Row],[_Valid]]=1),0,IF(N(INDEX(tsk_LeafTotalCost,AssignmentTable[[#This Row],[_TaskPos]]))=0,0,N(INDEX(tsk_LeafAC,AssignmentTable[[#This Row],[_TaskPos]]))*AssignmentTable[[#This Row],[Cost]]/INDEX(tsk_LeafTotalCost,AssignmentTable[[#This Row],[_TaskPos]])))</f>
        <v>0</v>
      </c>
      <c r="S67" s="41" t="n">
        <f aca="false">IF(NOT(AssignmentTable[[#This Row],[_Valid]]=1),0,IF(N(INDEX(tsk_LateKey,AssignmentTable[[#This Row],[_TaskPos]]))&gt;0,1,0))</f>
        <v>0</v>
      </c>
      <c r="T67" s="41" t="n">
        <f aca="false">IF(NOT(AssignmentTable[[#This Row],[_Valid]]=1),0,IF(INDEX(tsk_Critical,AssignmentTable[[#This Row],[_TaskPos]])="Yes",1,0))</f>
        <v>0</v>
      </c>
      <c r="U6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29"/>
      <c r="C68" s="24" t="str">
        <f aca="false">IF(AssignmentTable[[#This Row],[_TaskPos]]&lt;=0,"",INDEX(tsk_Name,AssignmentTable[[#This Row],[_TaskPos]])&amp;"")</f>
        <v/>
      </c>
      <c r="D68" s="30"/>
      <c r="E68" s="80"/>
      <c r="F68" s="96" t="n">
        <f aca="false">IF(AssignmentTable[[#This Row],[_Valid]]=1,N(INDEX(tsk_Duration,AssignmentTable[[#This Row],[_TaskPos]]))*HoursPerDay*IF(AssignmentTable[[#This Row],[Units]]="",DefaultUnits,AssignmentTable[[#This Row],[Units]]),0)</f>
        <v>0</v>
      </c>
      <c r="G68" s="97" t="n">
        <f aca="false">IF(AssignmentTable[[#This Row],[Work]]=0,0,AssignmentTable[[#This Row],[Work]]*IFERROR(INDEX(res_Rate,MATCH(AssignmentTable[[#This Row],[Resource]],res_Name,0)),0))</f>
        <v>0</v>
      </c>
      <c r="H6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41" t="n">
        <f aca="false">IF(N(AssignmentTable[[#This Row],[Task UID]])=0,0,IFERROR(MATCH(AssignmentTable[[#This Row],[Task UID]],tsk_UID,0),-1))</f>
        <v>0</v>
      </c>
      <c r="J68" s="41" t="n">
        <f aca="false">IF(AND(AssignmentTable[[#This Row],[_TaskPos]]&gt;0,AssignmentTable[[#This Row],[Resource]]&lt;&gt;"",AssignmentTable[[#This Row],[Check]]=""),1,0)</f>
        <v>0</v>
      </c>
      <c r="K68" s="41" t="str">
        <f aca="false">IF(AssignmentTable[[#This Row],[_Valid]]=1,AssignmentTable[[#This Row],[Task UID]]*1000+COUNTIFS(AssignmentTable[[#Headers],[Task UID]]:AssignmentTable[[#This Row],[Task UID]],AssignmentTable[[#This Row],[Task UID]],AssignmentTable[[#Headers],[_Valid]]:AssignmentTable[[#This Row],[_Valid]],1),"")</f>
        <v/>
      </c>
      <c r="L68" s="41" t="str">
        <f aca="false">IF(AssignmentTable[[#This Row],[_Valid]]=1,AssignmentTable[[#This Row],[Resource]]&amp;IF(OR(AssignmentTable[[#This Row],[Units]]="",AssignmentTable[[#This Row],[Units]]=1),"","["&amp;ROUND(AssignmentTable[[#This Row],[Units]]*100,0)&amp;"%]"),"")</f>
        <v/>
      </c>
      <c r="M68" s="41" t="n">
        <f aca="false">IF(AssignmentTable[[#This Row],[_Valid]]=1,N(INDEX(tsk_StartWD,AssignmentTable[[#This Row],[_TaskPos]])),0)</f>
        <v>0</v>
      </c>
      <c r="N68" s="41" t="n">
        <f aca="false">IF(AssignmentTable[[#This Row],[_Valid]]=1,N(INDEX(tsk_FinishWD,AssignmentTable[[#This Row],[_TaskPos]])),0)</f>
        <v>0</v>
      </c>
      <c r="O68" s="41" t="n">
        <f aca="false">IF(OR(AssignmentTable[[#This Row],[Work]]=0,AssignmentTable[[#This Row],[_FinishWD]]=0),0,AssignmentTable[[#This Row],[Work]]/(AssignmentTable[[#This Row],[_FinishWD]]-AssignmentTable[[#This Row],[_StartWD]]+1))</f>
        <v>0</v>
      </c>
      <c r="P68" s="41" t="n">
        <f aca="false">AssignmentTable[[#This Row],[_WorkPerWD]]*MAX(0,AssignmentTable[[#This Row],[_StartWD]]-1)</f>
        <v>0</v>
      </c>
      <c r="Q68" s="41" t="n">
        <f aca="false">IF(AssignmentTable[[#This Row],[_Valid]]=1,AssignmentTable[[#This Row],[Work]]*N(INDEX(tsk_LeafProgress,AssignmentTable[[#This Row],[_TaskPos]])),0)</f>
        <v>0</v>
      </c>
      <c r="R68" s="41" t="n">
        <f aca="false">IF(NOT(AssignmentTable[[#This Row],[_Valid]]=1),0,IF(N(INDEX(tsk_LeafTotalCost,AssignmentTable[[#This Row],[_TaskPos]]))=0,0,N(INDEX(tsk_LeafAC,AssignmentTable[[#This Row],[_TaskPos]]))*AssignmentTable[[#This Row],[Cost]]/INDEX(tsk_LeafTotalCost,AssignmentTable[[#This Row],[_TaskPos]])))</f>
        <v>0</v>
      </c>
      <c r="S68" s="41" t="n">
        <f aca="false">IF(NOT(AssignmentTable[[#This Row],[_Valid]]=1),0,IF(N(INDEX(tsk_LateKey,AssignmentTable[[#This Row],[_TaskPos]]))&gt;0,1,0))</f>
        <v>0</v>
      </c>
      <c r="T68" s="41" t="n">
        <f aca="false">IF(NOT(AssignmentTable[[#This Row],[_Valid]]=1),0,IF(INDEX(tsk_Critical,AssignmentTable[[#This Row],[_TaskPos]])="Yes",1,0))</f>
        <v>0</v>
      </c>
      <c r="U6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29"/>
      <c r="C69" s="24" t="str">
        <f aca="false">IF(AssignmentTable[[#This Row],[_TaskPos]]&lt;=0,"",INDEX(tsk_Name,AssignmentTable[[#This Row],[_TaskPos]])&amp;"")</f>
        <v/>
      </c>
      <c r="D69" s="30"/>
      <c r="E69" s="80"/>
      <c r="F69" s="96" t="n">
        <f aca="false">IF(AssignmentTable[[#This Row],[_Valid]]=1,N(INDEX(tsk_Duration,AssignmentTable[[#This Row],[_TaskPos]]))*HoursPerDay*IF(AssignmentTable[[#This Row],[Units]]="",DefaultUnits,AssignmentTable[[#This Row],[Units]]),0)</f>
        <v>0</v>
      </c>
      <c r="G69" s="97" t="n">
        <f aca="false">IF(AssignmentTable[[#This Row],[Work]]=0,0,AssignmentTable[[#This Row],[Work]]*IFERROR(INDEX(res_Rate,MATCH(AssignmentTable[[#This Row],[Resource]],res_Name,0)),0))</f>
        <v>0</v>
      </c>
      <c r="H6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41" t="n">
        <f aca="false">IF(N(AssignmentTable[[#This Row],[Task UID]])=0,0,IFERROR(MATCH(AssignmentTable[[#This Row],[Task UID]],tsk_UID,0),-1))</f>
        <v>0</v>
      </c>
      <c r="J69" s="41" t="n">
        <f aca="false">IF(AND(AssignmentTable[[#This Row],[_TaskPos]]&gt;0,AssignmentTable[[#This Row],[Resource]]&lt;&gt;"",AssignmentTable[[#This Row],[Check]]=""),1,0)</f>
        <v>0</v>
      </c>
      <c r="K69" s="41" t="str">
        <f aca="false">IF(AssignmentTable[[#This Row],[_Valid]]=1,AssignmentTable[[#This Row],[Task UID]]*1000+COUNTIFS(AssignmentTable[[#Headers],[Task UID]]:AssignmentTable[[#This Row],[Task UID]],AssignmentTable[[#This Row],[Task UID]],AssignmentTable[[#Headers],[_Valid]]:AssignmentTable[[#This Row],[_Valid]],1),"")</f>
        <v/>
      </c>
      <c r="L69" s="41" t="str">
        <f aca="false">IF(AssignmentTable[[#This Row],[_Valid]]=1,AssignmentTable[[#This Row],[Resource]]&amp;IF(OR(AssignmentTable[[#This Row],[Units]]="",AssignmentTable[[#This Row],[Units]]=1),"","["&amp;ROUND(AssignmentTable[[#This Row],[Units]]*100,0)&amp;"%]"),"")</f>
        <v/>
      </c>
      <c r="M69" s="41" t="n">
        <f aca="false">IF(AssignmentTable[[#This Row],[_Valid]]=1,N(INDEX(tsk_StartWD,AssignmentTable[[#This Row],[_TaskPos]])),0)</f>
        <v>0</v>
      </c>
      <c r="N69" s="41" t="n">
        <f aca="false">IF(AssignmentTable[[#This Row],[_Valid]]=1,N(INDEX(tsk_FinishWD,AssignmentTable[[#This Row],[_TaskPos]])),0)</f>
        <v>0</v>
      </c>
      <c r="O69" s="41" t="n">
        <f aca="false">IF(OR(AssignmentTable[[#This Row],[Work]]=0,AssignmentTable[[#This Row],[_FinishWD]]=0),0,AssignmentTable[[#This Row],[Work]]/(AssignmentTable[[#This Row],[_FinishWD]]-AssignmentTable[[#This Row],[_StartWD]]+1))</f>
        <v>0</v>
      </c>
      <c r="P69" s="41" t="n">
        <f aca="false">AssignmentTable[[#This Row],[_WorkPerWD]]*MAX(0,AssignmentTable[[#This Row],[_StartWD]]-1)</f>
        <v>0</v>
      </c>
      <c r="Q69" s="41" t="n">
        <f aca="false">IF(AssignmentTable[[#This Row],[_Valid]]=1,AssignmentTable[[#This Row],[Work]]*N(INDEX(tsk_LeafProgress,AssignmentTable[[#This Row],[_TaskPos]])),0)</f>
        <v>0</v>
      </c>
      <c r="R69" s="41" t="n">
        <f aca="false">IF(NOT(AssignmentTable[[#This Row],[_Valid]]=1),0,IF(N(INDEX(tsk_LeafTotalCost,AssignmentTable[[#This Row],[_TaskPos]]))=0,0,N(INDEX(tsk_LeafAC,AssignmentTable[[#This Row],[_TaskPos]]))*AssignmentTable[[#This Row],[Cost]]/INDEX(tsk_LeafTotalCost,AssignmentTable[[#This Row],[_TaskPos]])))</f>
        <v>0</v>
      </c>
      <c r="S69" s="41" t="n">
        <f aca="false">IF(NOT(AssignmentTable[[#This Row],[_Valid]]=1),0,IF(N(INDEX(tsk_LateKey,AssignmentTable[[#This Row],[_TaskPos]]))&gt;0,1,0))</f>
        <v>0</v>
      </c>
      <c r="T69" s="41" t="n">
        <f aca="false">IF(NOT(AssignmentTable[[#This Row],[_Valid]]=1),0,IF(INDEX(tsk_Critical,AssignmentTable[[#This Row],[_TaskPos]])="Yes",1,0))</f>
        <v>0</v>
      </c>
      <c r="U6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29"/>
      <c r="C70" s="24" t="str">
        <f aca="false">IF(AssignmentTable[[#This Row],[_TaskPos]]&lt;=0,"",INDEX(tsk_Name,AssignmentTable[[#This Row],[_TaskPos]])&amp;"")</f>
        <v/>
      </c>
      <c r="D70" s="30"/>
      <c r="E70" s="80"/>
      <c r="F70" s="96" t="n">
        <f aca="false">IF(AssignmentTable[[#This Row],[_Valid]]=1,N(INDEX(tsk_Duration,AssignmentTable[[#This Row],[_TaskPos]]))*HoursPerDay*IF(AssignmentTable[[#This Row],[Units]]="",DefaultUnits,AssignmentTable[[#This Row],[Units]]),0)</f>
        <v>0</v>
      </c>
      <c r="G70" s="97" t="n">
        <f aca="false">IF(AssignmentTable[[#This Row],[Work]]=0,0,AssignmentTable[[#This Row],[Work]]*IFERROR(INDEX(res_Rate,MATCH(AssignmentTable[[#This Row],[Resource]],res_Name,0)),0))</f>
        <v>0</v>
      </c>
      <c r="H7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41" t="n">
        <f aca="false">IF(N(AssignmentTable[[#This Row],[Task UID]])=0,0,IFERROR(MATCH(AssignmentTable[[#This Row],[Task UID]],tsk_UID,0),-1))</f>
        <v>0</v>
      </c>
      <c r="J70" s="41" t="n">
        <f aca="false">IF(AND(AssignmentTable[[#This Row],[_TaskPos]]&gt;0,AssignmentTable[[#This Row],[Resource]]&lt;&gt;"",AssignmentTable[[#This Row],[Check]]=""),1,0)</f>
        <v>0</v>
      </c>
      <c r="K70" s="41" t="str">
        <f aca="false">IF(AssignmentTable[[#This Row],[_Valid]]=1,AssignmentTable[[#This Row],[Task UID]]*1000+COUNTIFS(AssignmentTable[[#Headers],[Task UID]]:AssignmentTable[[#This Row],[Task UID]],AssignmentTable[[#This Row],[Task UID]],AssignmentTable[[#Headers],[_Valid]]:AssignmentTable[[#This Row],[_Valid]],1),"")</f>
        <v/>
      </c>
      <c r="L70" s="41" t="str">
        <f aca="false">IF(AssignmentTable[[#This Row],[_Valid]]=1,AssignmentTable[[#This Row],[Resource]]&amp;IF(OR(AssignmentTable[[#This Row],[Units]]="",AssignmentTable[[#This Row],[Units]]=1),"","["&amp;ROUND(AssignmentTable[[#This Row],[Units]]*100,0)&amp;"%]"),"")</f>
        <v/>
      </c>
      <c r="M70" s="41" t="n">
        <f aca="false">IF(AssignmentTable[[#This Row],[_Valid]]=1,N(INDEX(tsk_StartWD,AssignmentTable[[#This Row],[_TaskPos]])),0)</f>
        <v>0</v>
      </c>
      <c r="N70" s="41" t="n">
        <f aca="false">IF(AssignmentTable[[#This Row],[_Valid]]=1,N(INDEX(tsk_FinishWD,AssignmentTable[[#This Row],[_TaskPos]])),0)</f>
        <v>0</v>
      </c>
      <c r="O70" s="41" t="n">
        <f aca="false">IF(OR(AssignmentTable[[#This Row],[Work]]=0,AssignmentTable[[#This Row],[_FinishWD]]=0),0,AssignmentTable[[#This Row],[Work]]/(AssignmentTable[[#This Row],[_FinishWD]]-AssignmentTable[[#This Row],[_StartWD]]+1))</f>
        <v>0</v>
      </c>
      <c r="P70" s="41" t="n">
        <f aca="false">AssignmentTable[[#This Row],[_WorkPerWD]]*MAX(0,AssignmentTable[[#This Row],[_StartWD]]-1)</f>
        <v>0</v>
      </c>
      <c r="Q70" s="41" t="n">
        <f aca="false">IF(AssignmentTable[[#This Row],[_Valid]]=1,AssignmentTable[[#This Row],[Work]]*N(INDEX(tsk_LeafProgress,AssignmentTable[[#This Row],[_TaskPos]])),0)</f>
        <v>0</v>
      </c>
      <c r="R70" s="41" t="n">
        <f aca="false">IF(NOT(AssignmentTable[[#This Row],[_Valid]]=1),0,IF(N(INDEX(tsk_LeafTotalCost,AssignmentTable[[#This Row],[_TaskPos]]))=0,0,N(INDEX(tsk_LeafAC,AssignmentTable[[#This Row],[_TaskPos]]))*AssignmentTable[[#This Row],[Cost]]/INDEX(tsk_LeafTotalCost,AssignmentTable[[#This Row],[_TaskPos]])))</f>
        <v>0</v>
      </c>
      <c r="S70" s="41" t="n">
        <f aca="false">IF(NOT(AssignmentTable[[#This Row],[_Valid]]=1),0,IF(N(INDEX(tsk_LateKey,AssignmentTable[[#This Row],[_TaskPos]]))&gt;0,1,0))</f>
        <v>0</v>
      </c>
      <c r="T70" s="41" t="n">
        <f aca="false">IF(NOT(AssignmentTable[[#This Row],[_Valid]]=1),0,IF(INDEX(tsk_Critical,AssignmentTable[[#This Row],[_TaskPos]])="Yes",1,0))</f>
        <v>0</v>
      </c>
      <c r="U7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29"/>
      <c r="C71" s="24" t="str">
        <f aca="false">IF(AssignmentTable[[#This Row],[_TaskPos]]&lt;=0,"",INDEX(tsk_Name,AssignmentTable[[#This Row],[_TaskPos]])&amp;"")</f>
        <v/>
      </c>
      <c r="D71" s="30"/>
      <c r="E71" s="80"/>
      <c r="F71" s="96" t="n">
        <f aca="false">IF(AssignmentTable[[#This Row],[_Valid]]=1,N(INDEX(tsk_Duration,AssignmentTable[[#This Row],[_TaskPos]]))*HoursPerDay*IF(AssignmentTable[[#This Row],[Units]]="",DefaultUnits,AssignmentTable[[#This Row],[Units]]),0)</f>
        <v>0</v>
      </c>
      <c r="G71" s="97" t="n">
        <f aca="false">IF(AssignmentTable[[#This Row],[Work]]=0,0,AssignmentTable[[#This Row],[Work]]*IFERROR(INDEX(res_Rate,MATCH(AssignmentTable[[#This Row],[Resource]],res_Name,0)),0))</f>
        <v>0</v>
      </c>
      <c r="H7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41" t="n">
        <f aca="false">IF(N(AssignmentTable[[#This Row],[Task UID]])=0,0,IFERROR(MATCH(AssignmentTable[[#This Row],[Task UID]],tsk_UID,0),-1))</f>
        <v>0</v>
      </c>
      <c r="J71" s="41" t="n">
        <f aca="false">IF(AND(AssignmentTable[[#This Row],[_TaskPos]]&gt;0,AssignmentTable[[#This Row],[Resource]]&lt;&gt;"",AssignmentTable[[#This Row],[Check]]=""),1,0)</f>
        <v>0</v>
      </c>
      <c r="K71" s="41" t="str">
        <f aca="false">IF(AssignmentTable[[#This Row],[_Valid]]=1,AssignmentTable[[#This Row],[Task UID]]*1000+COUNTIFS(AssignmentTable[[#Headers],[Task UID]]:AssignmentTable[[#This Row],[Task UID]],AssignmentTable[[#This Row],[Task UID]],AssignmentTable[[#Headers],[_Valid]]:AssignmentTable[[#This Row],[_Valid]],1),"")</f>
        <v/>
      </c>
      <c r="L71" s="41" t="str">
        <f aca="false">IF(AssignmentTable[[#This Row],[_Valid]]=1,AssignmentTable[[#This Row],[Resource]]&amp;IF(OR(AssignmentTable[[#This Row],[Units]]="",AssignmentTable[[#This Row],[Units]]=1),"","["&amp;ROUND(AssignmentTable[[#This Row],[Units]]*100,0)&amp;"%]"),"")</f>
        <v/>
      </c>
      <c r="M71" s="41" t="n">
        <f aca="false">IF(AssignmentTable[[#This Row],[_Valid]]=1,N(INDEX(tsk_StartWD,AssignmentTable[[#This Row],[_TaskPos]])),0)</f>
        <v>0</v>
      </c>
      <c r="N71" s="41" t="n">
        <f aca="false">IF(AssignmentTable[[#This Row],[_Valid]]=1,N(INDEX(tsk_FinishWD,AssignmentTable[[#This Row],[_TaskPos]])),0)</f>
        <v>0</v>
      </c>
      <c r="O71" s="41" t="n">
        <f aca="false">IF(OR(AssignmentTable[[#This Row],[Work]]=0,AssignmentTable[[#This Row],[_FinishWD]]=0),0,AssignmentTable[[#This Row],[Work]]/(AssignmentTable[[#This Row],[_FinishWD]]-AssignmentTable[[#This Row],[_StartWD]]+1))</f>
        <v>0</v>
      </c>
      <c r="P71" s="41" t="n">
        <f aca="false">AssignmentTable[[#This Row],[_WorkPerWD]]*MAX(0,AssignmentTable[[#This Row],[_StartWD]]-1)</f>
        <v>0</v>
      </c>
      <c r="Q71" s="41" t="n">
        <f aca="false">IF(AssignmentTable[[#This Row],[_Valid]]=1,AssignmentTable[[#This Row],[Work]]*N(INDEX(tsk_LeafProgress,AssignmentTable[[#This Row],[_TaskPos]])),0)</f>
        <v>0</v>
      </c>
      <c r="R71" s="41" t="n">
        <f aca="false">IF(NOT(AssignmentTable[[#This Row],[_Valid]]=1),0,IF(N(INDEX(tsk_LeafTotalCost,AssignmentTable[[#This Row],[_TaskPos]]))=0,0,N(INDEX(tsk_LeafAC,AssignmentTable[[#This Row],[_TaskPos]]))*AssignmentTable[[#This Row],[Cost]]/INDEX(tsk_LeafTotalCost,AssignmentTable[[#This Row],[_TaskPos]])))</f>
        <v>0</v>
      </c>
      <c r="S71" s="41" t="n">
        <f aca="false">IF(NOT(AssignmentTable[[#This Row],[_Valid]]=1),0,IF(N(INDEX(tsk_LateKey,AssignmentTable[[#This Row],[_TaskPos]]))&gt;0,1,0))</f>
        <v>0</v>
      </c>
      <c r="T71" s="41" t="n">
        <f aca="false">IF(NOT(AssignmentTable[[#This Row],[_Valid]]=1),0,IF(INDEX(tsk_Critical,AssignmentTable[[#This Row],[_TaskPos]])="Yes",1,0))</f>
        <v>0</v>
      </c>
      <c r="U7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29"/>
      <c r="C72" s="24" t="str">
        <f aca="false">IF(AssignmentTable[[#This Row],[_TaskPos]]&lt;=0,"",INDEX(tsk_Name,AssignmentTable[[#This Row],[_TaskPos]])&amp;"")</f>
        <v/>
      </c>
      <c r="D72" s="30"/>
      <c r="E72" s="80"/>
      <c r="F72" s="96" t="n">
        <f aca="false">IF(AssignmentTable[[#This Row],[_Valid]]=1,N(INDEX(tsk_Duration,AssignmentTable[[#This Row],[_TaskPos]]))*HoursPerDay*IF(AssignmentTable[[#This Row],[Units]]="",DefaultUnits,AssignmentTable[[#This Row],[Units]]),0)</f>
        <v>0</v>
      </c>
      <c r="G72" s="97" t="n">
        <f aca="false">IF(AssignmentTable[[#This Row],[Work]]=0,0,AssignmentTable[[#This Row],[Work]]*IFERROR(INDEX(res_Rate,MATCH(AssignmentTable[[#This Row],[Resource]],res_Name,0)),0))</f>
        <v>0</v>
      </c>
      <c r="H7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41" t="n">
        <f aca="false">IF(N(AssignmentTable[[#This Row],[Task UID]])=0,0,IFERROR(MATCH(AssignmentTable[[#This Row],[Task UID]],tsk_UID,0),-1))</f>
        <v>0</v>
      </c>
      <c r="J72" s="41" t="n">
        <f aca="false">IF(AND(AssignmentTable[[#This Row],[_TaskPos]]&gt;0,AssignmentTable[[#This Row],[Resource]]&lt;&gt;"",AssignmentTable[[#This Row],[Check]]=""),1,0)</f>
        <v>0</v>
      </c>
      <c r="K72" s="41" t="str">
        <f aca="false">IF(AssignmentTable[[#This Row],[_Valid]]=1,AssignmentTable[[#This Row],[Task UID]]*1000+COUNTIFS(AssignmentTable[[#Headers],[Task UID]]:AssignmentTable[[#This Row],[Task UID]],AssignmentTable[[#This Row],[Task UID]],AssignmentTable[[#Headers],[_Valid]]:AssignmentTable[[#This Row],[_Valid]],1),"")</f>
        <v/>
      </c>
      <c r="L72" s="41" t="str">
        <f aca="false">IF(AssignmentTable[[#This Row],[_Valid]]=1,AssignmentTable[[#This Row],[Resource]]&amp;IF(OR(AssignmentTable[[#This Row],[Units]]="",AssignmentTable[[#This Row],[Units]]=1),"","["&amp;ROUND(AssignmentTable[[#This Row],[Units]]*100,0)&amp;"%]"),"")</f>
        <v/>
      </c>
      <c r="M72" s="41" t="n">
        <f aca="false">IF(AssignmentTable[[#This Row],[_Valid]]=1,N(INDEX(tsk_StartWD,AssignmentTable[[#This Row],[_TaskPos]])),0)</f>
        <v>0</v>
      </c>
      <c r="N72" s="41" t="n">
        <f aca="false">IF(AssignmentTable[[#This Row],[_Valid]]=1,N(INDEX(tsk_FinishWD,AssignmentTable[[#This Row],[_TaskPos]])),0)</f>
        <v>0</v>
      </c>
      <c r="O72" s="41" t="n">
        <f aca="false">IF(OR(AssignmentTable[[#This Row],[Work]]=0,AssignmentTable[[#This Row],[_FinishWD]]=0),0,AssignmentTable[[#This Row],[Work]]/(AssignmentTable[[#This Row],[_FinishWD]]-AssignmentTable[[#This Row],[_StartWD]]+1))</f>
        <v>0</v>
      </c>
      <c r="P72" s="41" t="n">
        <f aca="false">AssignmentTable[[#This Row],[_WorkPerWD]]*MAX(0,AssignmentTable[[#This Row],[_StartWD]]-1)</f>
        <v>0</v>
      </c>
      <c r="Q72" s="41" t="n">
        <f aca="false">IF(AssignmentTable[[#This Row],[_Valid]]=1,AssignmentTable[[#This Row],[Work]]*N(INDEX(tsk_LeafProgress,AssignmentTable[[#This Row],[_TaskPos]])),0)</f>
        <v>0</v>
      </c>
      <c r="R72" s="41" t="n">
        <f aca="false">IF(NOT(AssignmentTable[[#This Row],[_Valid]]=1),0,IF(N(INDEX(tsk_LeafTotalCost,AssignmentTable[[#This Row],[_TaskPos]]))=0,0,N(INDEX(tsk_LeafAC,AssignmentTable[[#This Row],[_TaskPos]]))*AssignmentTable[[#This Row],[Cost]]/INDEX(tsk_LeafTotalCost,AssignmentTable[[#This Row],[_TaskPos]])))</f>
        <v>0</v>
      </c>
      <c r="S72" s="41" t="n">
        <f aca="false">IF(NOT(AssignmentTable[[#This Row],[_Valid]]=1),0,IF(N(INDEX(tsk_LateKey,AssignmentTable[[#This Row],[_TaskPos]]))&gt;0,1,0))</f>
        <v>0</v>
      </c>
      <c r="T72" s="41" t="n">
        <f aca="false">IF(NOT(AssignmentTable[[#This Row],[_Valid]]=1),0,IF(INDEX(tsk_Critical,AssignmentTable[[#This Row],[_TaskPos]])="Yes",1,0))</f>
        <v>0</v>
      </c>
      <c r="U7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29"/>
      <c r="C73" s="24" t="str">
        <f aca="false">IF(AssignmentTable[[#This Row],[_TaskPos]]&lt;=0,"",INDEX(tsk_Name,AssignmentTable[[#This Row],[_TaskPos]])&amp;"")</f>
        <v/>
      </c>
      <c r="D73" s="30"/>
      <c r="E73" s="80"/>
      <c r="F73" s="96" t="n">
        <f aca="false">IF(AssignmentTable[[#This Row],[_Valid]]=1,N(INDEX(tsk_Duration,AssignmentTable[[#This Row],[_TaskPos]]))*HoursPerDay*IF(AssignmentTable[[#This Row],[Units]]="",DefaultUnits,AssignmentTable[[#This Row],[Units]]),0)</f>
        <v>0</v>
      </c>
      <c r="G73" s="97" t="n">
        <f aca="false">IF(AssignmentTable[[#This Row],[Work]]=0,0,AssignmentTable[[#This Row],[Work]]*IFERROR(INDEX(res_Rate,MATCH(AssignmentTable[[#This Row],[Resource]],res_Name,0)),0))</f>
        <v>0</v>
      </c>
      <c r="H7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41" t="n">
        <f aca="false">IF(N(AssignmentTable[[#This Row],[Task UID]])=0,0,IFERROR(MATCH(AssignmentTable[[#This Row],[Task UID]],tsk_UID,0),-1))</f>
        <v>0</v>
      </c>
      <c r="J73" s="41" t="n">
        <f aca="false">IF(AND(AssignmentTable[[#This Row],[_TaskPos]]&gt;0,AssignmentTable[[#This Row],[Resource]]&lt;&gt;"",AssignmentTable[[#This Row],[Check]]=""),1,0)</f>
        <v>0</v>
      </c>
      <c r="K73" s="41" t="str">
        <f aca="false">IF(AssignmentTable[[#This Row],[_Valid]]=1,AssignmentTable[[#This Row],[Task UID]]*1000+COUNTIFS(AssignmentTable[[#Headers],[Task UID]]:AssignmentTable[[#This Row],[Task UID]],AssignmentTable[[#This Row],[Task UID]],AssignmentTable[[#Headers],[_Valid]]:AssignmentTable[[#This Row],[_Valid]],1),"")</f>
        <v/>
      </c>
      <c r="L73" s="41" t="str">
        <f aca="false">IF(AssignmentTable[[#This Row],[_Valid]]=1,AssignmentTable[[#This Row],[Resource]]&amp;IF(OR(AssignmentTable[[#This Row],[Units]]="",AssignmentTable[[#This Row],[Units]]=1),"","["&amp;ROUND(AssignmentTable[[#This Row],[Units]]*100,0)&amp;"%]"),"")</f>
        <v/>
      </c>
      <c r="M73" s="41" t="n">
        <f aca="false">IF(AssignmentTable[[#This Row],[_Valid]]=1,N(INDEX(tsk_StartWD,AssignmentTable[[#This Row],[_TaskPos]])),0)</f>
        <v>0</v>
      </c>
      <c r="N73" s="41" t="n">
        <f aca="false">IF(AssignmentTable[[#This Row],[_Valid]]=1,N(INDEX(tsk_FinishWD,AssignmentTable[[#This Row],[_TaskPos]])),0)</f>
        <v>0</v>
      </c>
      <c r="O73" s="41" t="n">
        <f aca="false">IF(OR(AssignmentTable[[#This Row],[Work]]=0,AssignmentTable[[#This Row],[_FinishWD]]=0),0,AssignmentTable[[#This Row],[Work]]/(AssignmentTable[[#This Row],[_FinishWD]]-AssignmentTable[[#This Row],[_StartWD]]+1))</f>
        <v>0</v>
      </c>
      <c r="P73" s="41" t="n">
        <f aca="false">AssignmentTable[[#This Row],[_WorkPerWD]]*MAX(0,AssignmentTable[[#This Row],[_StartWD]]-1)</f>
        <v>0</v>
      </c>
      <c r="Q73" s="41" t="n">
        <f aca="false">IF(AssignmentTable[[#This Row],[_Valid]]=1,AssignmentTable[[#This Row],[Work]]*N(INDEX(tsk_LeafProgress,AssignmentTable[[#This Row],[_TaskPos]])),0)</f>
        <v>0</v>
      </c>
      <c r="R73" s="41" t="n">
        <f aca="false">IF(NOT(AssignmentTable[[#This Row],[_Valid]]=1),0,IF(N(INDEX(tsk_LeafTotalCost,AssignmentTable[[#This Row],[_TaskPos]]))=0,0,N(INDEX(tsk_LeafAC,AssignmentTable[[#This Row],[_TaskPos]]))*AssignmentTable[[#This Row],[Cost]]/INDEX(tsk_LeafTotalCost,AssignmentTable[[#This Row],[_TaskPos]])))</f>
        <v>0</v>
      </c>
      <c r="S73" s="41" t="n">
        <f aca="false">IF(NOT(AssignmentTable[[#This Row],[_Valid]]=1),0,IF(N(INDEX(tsk_LateKey,AssignmentTable[[#This Row],[_TaskPos]]))&gt;0,1,0))</f>
        <v>0</v>
      </c>
      <c r="T73" s="41" t="n">
        <f aca="false">IF(NOT(AssignmentTable[[#This Row],[_Valid]]=1),0,IF(INDEX(tsk_Critical,AssignmentTable[[#This Row],[_TaskPos]])="Yes",1,0))</f>
        <v>0</v>
      </c>
      <c r="U7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29"/>
      <c r="C74" s="24" t="str">
        <f aca="false">IF(AssignmentTable[[#This Row],[_TaskPos]]&lt;=0,"",INDEX(tsk_Name,AssignmentTable[[#This Row],[_TaskPos]])&amp;"")</f>
        <v/>
      </c>
      <c r="D74" s="30"/>
      <c r="E74" s="80"/>
      <c r="F74" s="96" t="n">
        <f aca="false">IF(AssignmentTable[[#This Row],[_Valid]]=1,N(INDEX(tsk_Duration,AssignmentTable[[#This Row],[_TaskPos]]))*HoursPerDay*IF(AssignmentTable[[#This Row],[Units]]="",DefaultUnits,AssignmentTable[[#This Row],[Units]]),0)</f>
        <v>0</v>
      </c>
      <c r="G74" s="97" t="n">
        <f aca="false">IF(AssignmentTable[[#This Row],[Work]]=0,0,AssignmentTable[[#This Row],[Work]]*IFERROR(INDEX(res_Rate,MATCH(AssignmentTable[[#This Row],[Resource]],res_Name,0)),0))</f>
        <v>0</v>
      </c>
      <c r="H7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41" t="n">
        <f aca="false">IF(N(AssignmentTable[[#This Row],[Task UID]])=0,0,IFERROR(MATCH(AssignmentTable[[#This Row],[Task UID]],tsk_UID,0),-1))</f>
        <v>0</v>
      </c>
      <c r="J74" s="41" t="n">
        <f aca="false">IF(AND(AssignmentTable[[#This Row],[_TaskPos]]&gt;0,AssignmentTable[[#This Row],[Resource]]&lt;&gt;"",AssignmentTable[[#This Row],[Check]]=""),1,0)</f>
        <v>0</v>
      </c>
      <c r="K74" s="41" t="str">
        <f aca="false">IF(AssignmentTable[[#This Row],[_Valid]]=1,AssignmentTable[[#This Row],[Task UID]]*1000+COUNTIFS(AssignmentTable[[#Headers],[Task UID]]:AssignmentTable[[#This Row],[Task UID]],AssignmentTable[[#This Row],[Task UID]],AssignmentTable[[#Headers],[_Valid]]:AssignmentTable[[#This Row],[_Valid]],1),"")</f>
        <v/>
      </c>
      <c r="L74" s="41" t="str">
        <f aca="false">IF(AssignmentTable[[#This Row],[_Valid]]=1,AssignmentTable[[#This Row],[Resource]]&amp;IF(OR(AssignmentTable[[#This Row],[Units]]="",AssignmentTable[[#This Row],[Units]]=1),"","["&amp;ROUND(AssignmentTable[[#This Row],[Units]]*100,0)&amp;"%]"),"")</f>
        <v/>
      </c>
      <c r="M74" s="41" t="n">
        <f aca="false">IF(AssignmentTable[[#This Row],[_Valid]]=1,N(INDEX(tsk_StartWD,AssignmentTable[[#This Row],[_TaskPos]])),0)</f>
        <v>0</v>
      </c>
      <c r="N74" s="41" t="n">
        <f aca="false">IF(AssignmentTable[[#This Row],[_Valid]]=1,N(INDEX(tsk_FinishWD,AssignmentTable[[#This Row],[_TaskPos]])),0)</f>
        <v>0</v>
      </c>
      <c r="O74" s="41" t="n">
        <f aca="false">IF(OR(AssignmentTable[[#This Row],[Work]]=0,AssignmentTable[[#This Row],[_FinishWD]]=0),0,AssignmentTable[[#This Row],[Work]]/(AssignmentTable[[#This Row],[_FinishWD]]-AssignmentTable[[#This Row],[_StartWD]]+1))</f>
        <v>0</v>
      </c>
      <c r="P74" s="41" t="n">
        <f aca="false">AssignmentTable[[#This Row],[_WorkPerWD]]*MAX(0,AssignmentTable[[#This Row],[_StartWD]]-1)</f>
        <v>0</v>
      </c>
      <c r="Q74" s="41" t="n">
        <f aca="false">IF(AssignmentTable[[#This Row],[_Valid]]=1,AssignmentTable[[#This Row],[Work]]*N(INDEX(tsk_LeafProgress,AssignmentTable[[#This Row],[_TaskPos]])),0)</f>
        <v>0</v>
      </c>
      <c r="R74" s="41" t="n">
        <f aca="false">IF(NOT(AssignmentTable[[#This Row],[_Valid]]=1),0,IF(N(INDEX(tsk_LeafTotalCost,AssignmentTable[[#This Row],[_TaskPos]]))=0,0,N(INDEX(tsk_LeafAC,AssignmentTable[[#This Row],[_TaskPos]]))*AssignmentTable[[#This Row],[Cost]]/INDEX(tsk_LeafTotalCost,AssignmentTable[[#This Row],[_TaskPos]])))</f>
        <v>0</v>
      </c>
      <c r="S74" s="41" t="n">
        <f aca="false">IF(NOT(AssignmentTable[[#This Row],[_Valid]]=1),0,IF(N(INDEX(tsk_LateKey,AssignmentTable[[#This Row],[_TaskPos]]))&gt;0,1,0))</f>
        <v>0</v>
      </c>
      <c r="T74" s="41" t="n">
        <f aca="false">IF(NOT(AssignmentTable[[#This Row],[_Valid]]=1),0,IF(INDEX(tsk_Critical,AssignmentTable[[#This Row],[_TaskPos]])="Yes",1,0))</f>
        <v>0</v>
      </c>
      <c r="U7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29"/>
      <c r="C75" s="24" t="str">
        <f aca="false">IF(AssignmentTable[[#This Row],[_TaskPos]]&lt;=0,"",INDEX(tsk_Name,AssignmentTable[[#This Row],[_TaskPos]])&amp;"")</f>
        <v/>
      </c>
      <c r="D75" s="30"/>
      <c r="E75" s="80"/>
      <c r="F75" s="96" t="n">
        <f aca="false">IF(AssignmentTable[[#This Row],[_Valid]]=1,N(INDEX(tsk_Duration,AssignmentTable[[#This Row],[_TaskPos]]))*HoursPerDay*IF(AssignmentTable[[#This Row],[Units]]="",DefaultUnits,AssignmentTable[[#This Row],[Units]]),0)</f>
        <v>0</v>
      </c>
      <c r="G75" s="97" t="n">
        <f aca="false">IF(AssignmentTable[[#This Row],[Work]]=0,0,AssignmentTable[[#This Row],[Work]]*IFERROR(INDEX(res_Rate,MATCH(AssignmentTable[[#This Row],[Resource]],res_Name,0)),0))</f>
        <v>0</v>
      </c>
      <c r="H7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41" t="n">
        <f aca="false">IF(N(AssignmentTable[[#This Row],[Task UID]])=0,0,IFERROR(MATCH(AssignmentTable[[#This Row],[Task UID]],tsk_UID,0),-1))</f>
        <v>0</v>
      </c>
      <c r="J75" s="41" t="n">
        <f aca="false">IF(AND(AssignmentTable[[#This Row],[_TaskPos]]&gt;0,AssignmentTable[[#This Row],[Resource]]&lt;&gt;"",AssignmentTable[[#This Row],[Check]]=""),1,0)</f>
        <v>0</v>
      </c>
      <c r="K75" s="41" t="str">
        <f aca="false">IF(AssignmentTable[[#This Row],[_Valid]]=1,AssignmentTable[[#This Row],[Task UID]]*1000+COUNTIFS(AssignmentTable[[#Headers],[Task UID]]:AssignmentTable[[#This Row],[Task UID]],AssignmentTable[[#This Row],[Task UID]],AssignmentTable[[#Headers],[_Valid]]:AssignmentTable[[#This Row],[_Valid]],1),"")</f>
        <v/>
      </c>
      <c r="L75" s="41" t="str">
        <f aca="false">IF(AssignmentTable[[#This Row],[_Valid]]=1,AssignmentTable[[#This Row],[Resource]]&amp;IF(OR(AssignmentTable[[#This Row],[Units]]="",AssignmentTable[[#This Row],[Units]]=1),"","["&amp;ROUND(AssignmentTable[[#This Row],[Units]]*100,0)&amp;"%]"),"")</f>
        <v/>
      </c>
      <c r="M75" s="41" t="n">
        <f aca="false">IF(AssignmentTable[[#This Row],[_Valid]]=1,N(INDEX(tsk_StartWD,AssignmentTable[[#This Row],[_TaskPos]])),0)</f>
        <v>0</v>
      </c>
      <c r="N75" s="41" t="n">
        <f aca="false">IF(AssignmentTable[[#This Row],[_Valid]]=1,N(INDEX(tsk_FinishWD,AssignmentTable[[#This Row],[_TaskPos]])),0)</f>
        <v>0</v>
      </c>
      <c r="O75" s="41" t="n">
        <f aca="false">IF(OR(AssignmentTable[[#This Row],[Work]]=0,AssignmentTable[[#This Row],[_FinishWD]]=0),0,AssignmentTable[[#This Row],[Work]]/(AssignmentTable[[#This Row],[_FinishWD]]-AssignmentTable[[#This Row],[_StartWD]]+1))</f>
        <v>0</v>
      </c>
      <c r="P75" s="41" t="n">
        <f aca="false">AssignmentTable[[#This Row],[_WorkPerWD]]*MAX(0,AssignmentTable[[#This Row],[_StartWD]]-1)</f>
        <v>0</v>
      </c>
      <c r="Q75" s="41" t="n">
        <f aca="false">IF(AssignmentTable[[#This Row],[_Valid]]=1,AssignmentTable[[#This Row],[Work]]*N(INDEX(tsk_LeafProgress,AssignmentTable[[#This Row],[_TaskPos]])),0)</f>
        <v>0</v>
      </c>
      <c r="R75" s="41" t="n">
        <f aca="false">IF(NOT(AssignmentTable[[#This Row],[_Valid]]=1),0,IF(N(INDEX(tsk_LeafTotalCost,AssignmentTable[[#This Row],[_TaskPos]]))=0,0,N(INDEX(tsk_LeafAC,AssignmentTable[[#This Row],[_TaskPos]]))*AssignmentTable[[#This Row],[Cost]]/INDEX(tsk_LeafTotalCost,AssignmentTable[[#This Row],[_TaskPos]])))</f>
        <v>0</v>
      </c>
      <c r="S75" s="41" t="n">
        <f aca="false">IF(NOT(AssignmentTable[[#This Row],[_Valid]]=1),0,IF(N(INDEX(tsk_LateKey,AssignmentTable[[#This Row],[_TaskPos]]))&gt;0,1,0))</f>
        <v>0</v>
      </c>
      <c r="T75" s="41" t="n">
        <f aca="false">IF(NOT(AssignmentTable[[#This Row],[_Valid]]=1),0,IF(INDEX(tsk_Critical,AssignmentTable[[#This Row],[_TaskPos]])="Yes",1,0))</f>
        <v>0</v>
      </c>
      <c r="U7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29"/>
      <c r="C76" s="24" t="str">
        <f aca="false">IF(AssignmentTable[[#This Row],[_TaskPos]]&lt;=0,"",INDEX(tsk_Name,AssignmentTable[[#This Row],[_TaskPos]])&amp;"")</f>
        <v/>
      </c>
      <c r="D76" s="30"/>
      <c r="E76" s="80"/>
      <c r="F76" s="96" t="n">
        <f aca="false">IF(AssignmentTable[[#This Row],[_Valid]]=1,N(INDEX(tsk_Duration,AssignmentTable[[#This Row],[_TaskPos]]))*HoursPerDay*IF(AssignmentTable[[#This Row],[Units]]="",DefaultUnits,AssignmentTable[[#This Row],[Units]]),0)</f>
        <v>0</v>
      </c>
      <c r="G76" s="97" t="n">
        <f aca="false">IF(AssignmentTable[[#This Row],[Work]]=0,0,AssignmentTable[[#This Row],[Work]]*IFERROR(INDEX(res_Rate,MATCH(AssignmentTable[[#This Row],[Resource]],res_Name,0)),0))</f>
        <v>0</v>
      </c>
      <c r="H7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41" t="n">
        <f aca="false">IF(N(AssignmentTable[[#This Row],[Task UID]])=0,0,IFERROR(MATCH(AssignmentTable[[#This Row],[Task UID]],tsk_UID,0),-1))</f>
        <v>0</v>
      </c>
      <c r="J76" s="41" t="n">
        <f aca="false">IF(AND(AssignmentTable[[#This Row],[_TaskPos]]&gt;0,AssignmentTable[[#This Row],[Resource]]&lt;&gt;"",AssignmentTable[[#This Row],[Check]]=""),1,0)</f>
        <v>0</v>
      </c>
      <c r="K76" s="41" t="str">
        <f aca="false">IF(AssignmentTable[[#This Row],[_Valid]]=1,AssignmentTable[[#This Row],[Task UID]]*1000+COUNTIFS(AssignmentTable[[#Headers],[Task UID]]:AssignmentTable[[#This Row],[Task UID]],AssignmentTable[[#This Row],[Task UID]],AssignmentTable[[#Headers],[_Valid]]:AssignmentTable[[#This Row],[_Valid]],1),"")</f>
        <v/>
      </c>
      <c r="L76" s="41" t="str">
        <f aca="false">IF(AssignmentTable[[#This Row],[_Valid]]=1,AssignmentTable[[#This Row],[Resource]]&amp;IF(OR(AssignmentTable[[#This Row],[Units]]="",AssignmentTable[[#This Row],[Units]]=1),"","["&amp;ROUND(AssignmentTable[[#This Row],[Units]]*100,0)&amp;"%]"),"")</f>
        <v/>
      </c>
      <c r="M76" s="41" t="n">
        <f aca="false">IF(AssignmentTable[[#This Row],[_Valid]]=1,N(INDEX(tsk_StartWD,AssignmentTable[[#This Row],[_TaskPos]])),0)</f>
        <v>0</v>
      </c>
      <c r="N76" s="41" t="n">
        <f aca="false">IF(AssignmentTable[[#This Row],[_Valid]]=1,N(INDEX(tsk_FinishWD,AssignmentTable[[#This Row],[_TaskPos]])),0)</f>
        <v>0</v>
      </c>
      <c r="O76" s="41" t="n">
        <f aca="false">IF(OR(AssignmentTable[[#This Row],[Work]]=0,AssignmentTable[[#This Row],[_FinishWD]]=0),0,AssignmentTable[[#This Row],[Work]]/(AssignmentTable[[#This Row],[_FinishWD]]-AssignmentTable[[#This Row],[_StartWD]]+1))</f>
        <v>0</v>
      </c>
      <c r="P76" s="41" t="n">
        <f aca="false">AssignmentTable[[#This Row],[_WorkPerWD]]*MAX(0,AssignmentTable[[#This Row],[_StartWD]]-1)</f>
        <v>0</v>
      </c>
      <c r="Q76" s="41" t="n">
        <f aca="false">IF(AssignmentTable[[#This Row],[_Valid]]=1,AssignmentTable[[#This Row],[Work]]*N(INDEX(tsk_LeafProgress,AssignmentTable[[#This Row],[_TaskPos]])),0)</f>
        <v>0</v>
      </c>
      <c r="R76" s="41" t="n">
        <f aca="false">IF(NOT(AssignmentTable[[#This Row],[_Valid]]=1),0,IF(N(INDEX(tsk_LeafTotalCost,AssignmentTable[[#This Row],[_TaskPos]]))=0,0,N(INDEX(tsk_LeafAC,AssignmentTable[[#This Row],[_TaskPos]]))*AssignmentTable[[#This Row],[Cost]]/INDEX(tsk_LeafTotalCost,AssignmentTable[[#This Row],[_TaskPos]])))</f>
        <v>0</v>
      </c>
      <c r="S76" s="41" t="n">
        <f aca="false">IF(NOT(AssignmentTable[[#This Row],[_Valid]]=1),0,IF(N(INDEX(tsk_LateKey,AssignmentTable[[#This Row],[_TaskPos]]))&gt;0,1,0))</f>
        <v>0</v>
      </c>
      <c r="T76" s="41" t="n">
        <f aca="false">IF(NOT(AssignmentTable[[#This Row],[_Valid]]=1),0,IF(INDEX(tsk_Critical,AssignmentTable[[#This Row],[_TaskPos]])="Yes",1,0))</f>
        <v>0</v>
      </c>
      <c r="U7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29"/>
      <c r="C77" s="24" t="str">
        <f aca="false">IF(AssignmentTable[[#This Row],[_TaskPos]]&lt;=0,"",INDEX(tsk_Name,AssignmentTable[[#This Row],[_TaskPos]])&amp;"")</f>
        <v/>
      </c>
      <c r="D77" s="30"/>
      <c r="E77" s="80"/>
      <c r="F77" s="96" t="n">
        <f aca="false">IF(AssignmentTable[[#This Row],[_Valid]]=1,N(INDEX(tsk_Duration,AssignmentTable[[#This Row],[_TaskPos]]))*HoursPerDay*IF(AssignmentTable[[#This Row],[Units]]="",DefaultUnits,AssignmentTable[[#This Row],[Units]]),0)</f>
        <v>0</v>
      </c>
      <c r="G77" s="97" t="n">
        <f aca="false">IF(AssignmentTable[[#This Row],[Work]]=0,0,AssignmentTable[[#This Row],[Work]]*IFERROR(INDEX(res_Rate,MATCH(AssignmentTable[[#This Row],[Resource]],res_Name,0)),0))</f>
        <v>0</v>
      </c>
      <c r="H7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41" t="n">
        <f aca="false">IF(N(AssignmentTable[[#This Row],[Task UID]])=0,0,IFERROR(MATCH(AssignmentTable[[#This Row],[Task UID]],tsk_UID,0),-1))</f>
        <v>0</v>
      </c>
      <c r="J77" s="41" t="n">
        <f aca="false">IF(AND(AssignmentTable[[#This Row],[_TaskPos]]&gt;0,AssignmentTable[[#This Row],[Resource]]&lt;&gt;"",AssignmentTable[[#This Row],[Check]]=""),1,0)</f>
        <v>0</v>
      </c>
      <c r="K77" s="41" t="str">
        <f aca="false">IF(AssignmentTable[[#This Row],[_Valid]]=1,AssignmentTable[[#This Row],[Task UID]]*1000+COUNTIFS(AssignmentTable[[#Headers],[Task UID]]:AssignmentTable[[#This Row],[Task UID]],AssignmentTable[[#This Row],[Task UID]],AssignmentTable[[#Headers],[_Valid]]:AssignmentTable[[#This Row],[_Valid]],1),"")</f>
        <v/>
      </c>
      <c r="L77" s="41" t="str">
        <f aca="false">IF(AssignmentTable[[#This Row],[_Valid]]=1,AssignmentTable[[#This Row],[Resource]]&amp;IF(OR(AssignmentTable[[#This Row],[Units]]="",AssignmentTable[[#This Row],[Units]]=1),"","["&amp;ROUND(AssignmentTable[[#This Row],[Units]]*100,0)&amp;"%]"),"")</f>
        <v/>
      </c>
      <c r="M77" s="41" t="n">
        <f aca="false">IF(AssignmentTable[[#This Row],[_Valid]]=1,N(INDEX(tsk_StartWD,AssignmentTable[[#This Row],[_TaskPos]])),0)</f>
        <v>0</v>
      </c>
      <c r="N77" s="41" t="n">
        <f aca="false">IF(AssignmentTable[[#This Row],[_Valid]]=1,N(INDEX(tsk_FinishWD,AssignmentTable[[#This Row],[_TaskPos]])),0)</f>
        <v>0</v>
      </c>
      <c r="O77" s="41" t="n">
        <f aca="false">IF(OR(AssignmentTable[[#This Row],[Work]]=0,AssignmentTable[[#This Row],[_FinishWD]]=0),0,AssignmentTable[[#This Row],[Work]]/(AssignmentTable[[#This Row],[_FinishWD]]-AssignmentTable[[#This Row],[_StartWD]]+1))</f>
        <v>0</v>
      </c>
      <c r="P77" s="41" t="n">
        <f aca="false">AssignmentTable[[#This Row],[_WorkPerWD]]*MAX(0,AssignmentTable[[#This Row],[_StartWD]]-1)</f>
        <v>0</v>
      </c>
      <c r="Q77" s="41" t="n">
        <f aca="false">IF(AssignmentTable[[#This Row],[_Valid]]=1,AssignmentTable[[#This Row],[Work]]*N(INDEX(tsk_LeafProgress,AssignmentTable[[#This Row],[_TaskPos]])),0)</f>
        <v>0</v>
      </c>
      <c r="R77" s="41" t="n">
        <f aca="false">IF(NOT(AssignmentTable[[#This Row],[_Valid]]=1),0,IF(N(INDEX(tsk_LeafTotalCost,AssignmentTable[[#This Row],[_TaskPos]]))=0,0,N(INDEX(tsk_LeafAC,AssignmentTable[[#This Row],[_TaskPos]]))*AssignmentTable[[#This Row],[Cost]]/INDEX(tsk_LeafTotalCost,AssignmentTable[[#This Row],[_TaskPos]])))</f>
        <v>0</v>
      </c>
      <c r="S77" s="41" t="n">
        <f aca="false">IF(NOT(AssignmentTable[[#This Row],[_Valid]]=1),0,IF(N(INDEX(tsk_LateKey,AssignmentTable[[#This Row],[_TaskPos]]))&gt;0,1,0))</f>
        <v>0</v>
      </c>
      <c r="T77" s="41" t="n">
        <f aca="false">IF(NOT(AssignmentTable[[#This Row],[_Valid]]=1),0,IF(INDEX(tsk_Critical,AssignmentTable[[#This Row],[_TaskPos]])="Yes",1,0))</f>
        <v>0</v>
      </c>
      <c r="U7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29"/>
      <c r="C78" s="24" t="str">
        <f aca="false">IF(AssignmentTable[[#This Row],[_TaskPos]]&lt;=0,"",INDEX(tsk_Name,AssignmentTable[[#This Row],[_TaskPos]])&amp;"")</f>
        <v/>
      </c>
      <c r="D78" s="30"/>
      <c r="E78" s="80"/>
      <c r="F78" s="96" t="n">
        <f aca="false">IF(AssignmentTable[[#This Row],[_Valid]]=1,N(INDEX(tsk_Duration,AssignmentTable[[#This Row],[_TaskPos]]))*HoursPerDay*IF(AssignmentTable[[#This Row],[Units]]="",DefaultUnits,AssignmentTable[[#This Row],[Units]]),0)</f>
        <v>0</v>
      </c>
      <c r="G78" s="97" t="n">
        <f aca="false">IF(AssignmentTable[[#This Row],[Work]]=0,0,AssignmentTable[[#This Row],[Work]]*IFERROR(INDEX(res_Rate,MATCH(AssignmentTable[[#This Row],[Resource]],res_Name,0)),0))</f>
        <v>0</v>
      </c>
      <c r="H7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41" t="n">
        <f aca="false">IF(N(AssignmentTable[[#This Row],[Task UID]])=0,0,IFERROR(MATCH(AssignmentTable[[#This Row],[Task UID]],tsk_UID,0),-1))</f>
        <v>0</v>
      </c>
      <c r="J78" s="41" t="n">
        <f aca="false">IF(AND(AssignmentTable[[#This Row],[_TaskPos]]&gt;0,AssignmentTable[[#This Row],[Resource]]&lt;&gt;"",AssignmentTable[[#This Row],[Check]]=""),1,0)</f>
        <v>0</v>
      </c>
      <c r="K78" s="41" t="str">
        <f aca="false">IF(AssignmentTable[[#This Row],[_Valid]]=1,AssignmentTable[[#This Row],[Task UID]]*1000+COUNTIFS(AssignmentTable[[#Headers],[Task UID]]:AssignmentTable[[#This Row],[Task UID]],AssignmentTable[[#This Row],[Task UID]],AssignmentTable[[#Headers],[_Valid]]:AssignmentTable[[#This Row],[_Valid]],1),"")</f>
        <v/>
      </c>
      <c r="L78" s="41" t="str">
        <f aca="false">IF(AssignmentTable[[#This Row],[_Valid]]=1,AssignmentTable[[#This Row],[Resource]]&amp;IF(OR(AssignmentTable[[#This Row],[Units]]="",AssignmentTable[[#This Row],[Units]]=1),"","["&amp;ROUND(AssignmentTable[[#This Row],[Units]]*100,0)&amp;"%]"),"")</f>
        <v/>
      </c>
      <c r="M78" s="41" t="n">
        <f aca="false">IF(AssignmentTable[[#This Row],[_Valid]]=1,N(INDEX(tsk_StartWD,AssignmentTable[[#This Row],[_TaskPos]])),0)</f>
        <v>0</v>
      </c>
      <c r="N78" s="41" t="n">
        <f aca="false">IF(AssignmentTable[[#This Row],[_Valid]]=1,N(INDEX(tsk_FinishWD,AssignmentTable[[#This Row],[_TaskPos]])),0)</f>
        <v>0</v>
      </c>
      <c r="O78" s="41" t="n">
        <f aca="false">IF(OR(AssignmentTable[[#This Row],[Work]]=0,AssignmentTable[[#This Row],[_FinishWD]]=0),0,AssignmentTable[[#This Row],[Work]]/(AssignmentTable[[#This Row],[_FinishWD]]-AssignmentTable[[#This Row],[_StartWD]]+1))</f>
        <v>0</v>
      </c>
      <c r="P78" s="41" t="n">
        <f aca="false">AssignmentTable[[#This Row],[_WorkPerWD]]*MAX(0,AssignmentTable[[#This Row],[_StartWD]]-1)</f>
        <v>0</v>
      </c>
      <c r="Q78" s="41" t="n">
        <f aca="false">IF(AssignmentTable[[#This Row],[_Valid]]=1,AssignmentTable[[#This Row],[Work]]*N(INDEX(tsk_LeafProgress,AssignmentTable[[#This Row],[_TaskPos]])),0)</f>
        <v>0</v>
      </c>
      <c r="R78" s="41" t="n">
        <f aca="false">IF(NOT(AssignmentTable[[#This Row],[_Valid]]=1),0,IF(N(INDEX(tsk_LeafTotalCost,AssignmentTable[[#This Row],[_TaskPos]]))=0,0,N(INDEX(tsk_LeafAC,AssignmentTable[[#This Row],[_TaskPos]]))*AssignmentTable[[#This Row],[Cost]]/INDEX(tsk_LeafTotalCost,AssignmentTable[[#This Row],[_TaskPos]])))</f>
        <v>0</v>
      </c>
      <c r="S78" s="41" t="n">
        <f aca="false">IF(NOT(AssignmentTable[[#This Row],[_Valid]]=1),0,IF(N(INDEX(tsk_LateKey,AssignmentTable[[#This Row],[_TaskPos]]))&gt;0,1,0))</f>
        <v>0</v>
      </c>
      <c r="T78" s="41" t="n">
        <f aca="false">IF(NOT(AssignmentTable[[#This Row],[_Valid]]=1),0,IF(INDEX(tsk_Critical,AssignmentTable[[#This Row],[_TaskPos]])="Yes",1,0))</f>
        <v>0</v>
      </c>
      <c r="U7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29"/>
      <c r="C79" s="24" t="str">
        <f aca="false">IF(AssignmentTable[[#This Row],[_TaskPos]]&lt;=0,"",INDEX(tsk_Name,AssignmentTable[[#This Row],[_TaskPos]])&amp;"")</f>
        <v/>
      </c>
      <c r="D79" s="30"/>
      <c r="E79" s="80"/>
      <c r="F79" s="96" t="n">
        <f aca="false">IF(AssignmentTable[[#This Row],[_Valid]]=1,N(INDEX(tsk_Duration,AssignmentTable[[#This Row],[_TaskPos]]))*HoursPerDay*IF(AssignmentTable[[#This Row],[Units]]="",DefaultUnits,AssignmentTable[[#This Row],[Units]]),0)</f>
        <v>0</v>
      </c>
      <c r="G79" s="97" t="n">
        <f aca="false">IF(AssignmentTable[[#This Row],[Work]]=0,0,AssignmentTable[[#This Row],[Work]]*IFERROR(INDEX(res_Rate,MATCH(AssignmentTable[[#This Row],[Resource]],res_Name,0)),0))</f>
        <v>0</v>
      </c>
      <c r="H7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41" t="n">
        <f aca="false">IF(N(AssignmentTable[[#This Row],[Task UID]])=0,0,IFERROR(MATCH(AssignmentTable[[#This Row],[Task UID]],tsk_UID,0),-1))</f>
        <v>0</v>
      </c>
      <c r="J79" s="41" t="n">
        <f aca="false">IF(AND(AssignmentTable[[#This Row],[_TaskPos]]&gt;0,AssignmentTable[[#This Row],[Resource]]&lt;&gt;"",AssignmentTable[[#This Row],[Check]]=""),1,0)</f>
        <v>0</v>
      </c>
      <c r="K79" s="41" t="str">
        <f aca="false">IF(AssignmentTable[[#This Row],[_Valid]]=1,AssignmentTable[[#This Row],[Task UID]]*1000+COUNTIFS(AssignmentTable[[#Headers],[Task UID]]:AssignmentTable[[#This Row],[Task UID]],AssignmentTable[[#This Row],[Task UID]],AssignmentTable[[#Headers],[_Valid]]:AssignmentTable[[#This Row],[_Valid]],1),"")</f>
        <v/>
      </c>
      <c r="L79" s="41" t="str">
        <f aca="false">IF(AssignmentTable[[#This Row],[_Valid]]=1,AssignmentTable[[#This Row],[Resource]]&amp;IF(OR(AssignmentTable[[#This Row],[Units]]="",AssignmentTable[[#This Row],[Units]]=1),"","["&amp;ROUND(AssignmentTable[[#This Row],[Units]]*100,0)&amp;"%]"),"")</f>
        <v/>
      </c>
      <c r="M79" s="41" t="n">
        <f aca="false">IF(AssignmentTable[[#This Row],[_Valid]]=1,N(INDEX(tsk_StartWD,AssignmentTable[[#This Row],[_TaskPos]])),0)</f>
        <v>0</v>
      </c>
      <c r="N79" s="41" t="n">
        <f aca="false">IF(AssignmentTable[[#This Row],[_Valid]]=1,N(INDEX(tsk_FinishWD,AssignmentTable[[#This Row],[_TaskPos]])),0)</f>
        <v>0</v>
      </c>
      <c r="O79" s="41" t="n">
        <f aca="false">IF(OR(AssignmentTable[[#This Row],[Work]]=0,AssignmentTable[[#This Row],[_FinishWD]]=0),0,AssignmentTable[[#This Row],[Work]]/(AssignmentTable[[#This Row],[_FinishWD]]-AssignmentTable[[#This Row],[_StartWD]]+1))</f>
        <v>0</v>
      </c>
      <c r="P79" s="41" t="n">
        <f aca="false">AssignmentTable[[#This Row],[_WorkPerWD]]*MAX(0,AssignmentTable[[#This Row],[_StartWD]]-1)</f>
        <v>0</v>
      </c>
      <c r="Q79" s="41" t="n">
        <f aca="false">IF(AssignmentTable[[#This Row],[_Valid]]=1,AssignmentTable[[#This Row],[Work]]*N(INDEX(tsk_LeafProgress,AssignmentTable[[#This Row],[_TaskPos]])),0)</f>
        <v>0</v>
      </c>
      <c r="R79" s="41" t="n">
        <f aca="false">IF(NOT(AssignmentTable[[#This Row],[_Valid]]=1),0,IF(N(INDEX(tsk_LeafTotalCost,AssignmentTable[[#This Row],[_TaskPos]]))=0,0,N(INDEX(tsk_LeafAC,AssignmentTable[[#This Row],[_TaskPos]]))*AssignmentTable[[#This Row],[Cost]]/INDEX(tsk_LeafTotalCost,AssignmentTable[[#This Row],[_TaskPos]])))</f>
        <v>0</v>
      </c>
      <c r="S79" s="41" t="n">
        <f aca="false">IF(NOT(AssignmentTable[[#This Row],[_Valid]]=1),0,IF(N(INDEX(tsk_LateKey,AssignmentTable[[#This Row],[_TaskPos]]))&gt;0,1,0))</f>
        <v>0</v>
      </c>
      <c r="T79" s="41" t="n">
        <f aca="false">IF(NOT(AssignmentTable[[#This Row],[_Valid]]=1),0,IF(INDEX(tsk_Critical,AssignmentTable[[#This Row],[_TaskPos]])="Yes",1,0))</f>
        <v>0</v>
      </c>
      <c r="U7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29"/>
      <c r="C80" s="24" t="str">
        <f aca="false">IF(AssignmentTable[[#This Row],[_TaskPos]]&lt;=0,"",INDEX(tsk_Name,AssignmentTable[[#This Row],[_TaskPos]])&amp;"")</f>
        <v/>
      </c>
      <c r="D80" s="30"/>
      <c r="E80" s="80"/>
      <c r="F80" s="96" t="n">
        <f aca="false">IF(AssignmentTable[[#This Row],[_Valid]]=1,N(INDEX(tsk_Duration,AssignmentTable[[#This Row],[_TaskPos]]))*HoursPerDay*IF(AssignmentTable[[#This Row],[Units]]="",DefaultUnits,AssignmentTable[[#This Row],[Units]]),0)</f>
        <v>0</v>
      </c>
      <c r="G80" s="97" t="n">
        <f aca="false">IF(AssignmentTable[[#This Row],[Work]]=0,0,AssignmentTable[[#This Row],[Work]]*IFERROR(INDEX(res_Rate,MATCH(AssignmentTable[[#This Row],[Resource]],res_Name,0)),0))</f>
        <v>0</v>
      </c>
      <c r="H8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41" t="n">
        <f aca="false">IF(N(AssignmentTable[[#This Row],[Task UID]])=0,0,IFERROR(MATCH(AssignmentTable[[#This Row],[Task UID]],tsk_UID,0),-1))</f>
        <v>0</v>
      </c>
      <c r="J80" s="41" t="n">
        <f aca="false">IF(AND(AssignmentTable[[#This Row],[_TaskPos]]&gt;0,AssignmentTable[[#This Row],[Resource]]&lt;&gt;"",AssignmentTable[[#This Row],[Check]]=""),1,0)</f>
        <v>0</v>
      </c>
      <c r="K80" s="41" t="str">
        <f aca="false">IF(AssignmentTable[[#This Row],[_Valid]]=1,AssignmentTable[[#This Row],[Task UID]]*1000+COUNTIFS(AssignmentTable[[#Headers],[Task UID]]:AssignmentTable[[#This Row],[Task UID]],AssignmentTable[[#This Row],[Task UID]],AssignmentTable[[#Headers],[_Valid]]:AssignmentTable[[#This Row],[_Valid]],1),"")</f>
        <v/>
      </c>
      <c r="L80" s="41" t="str">
        <f aca="false">IF(AssignmentTable[[#This Row],[_Valid]]=1,AssignmentTable[[#This Row],[Resource]]&amp;IF(OR(AssignmentTable[[#This Row],[Units]]="",AssignmentTable[[#This Row],[Units]]=1),"","["&amp;ROUND(AssignmentTable[[#This Row],[Units]]*100,0)&amp;"%]"),"")</f>
        <v/>
      </c>
      <c r="M80" s="41" t="n">
        <f aca="false">IF(AssignmentTable[[#This Row],[_Valid]]=1,N(INDEX(tsk_StartWD,AssignmentTable[[#This Row],[_TaskPos]])),0)</f>
        <v>0</v>
      </c>
      <c r="N80" s="41" t="n">
        <f aca="false">IF(AssignmentTable[[#This Row],[_Valid]]=1,N(INDEX(tsk_FinishWD,AssignmentTable[[#This Row],[_TaskPos]])),0)</f>
        <v>0</v>
      </c>
      <c r="O80" s="41" t="n">
        <f aca="false">IF(OR(AssignmentTable[[#This Row],[Work]]=0,AssignmentTable[[#This Row],[_FinishWD]]=0),0,AssignmentTable[[#This Row],[Work]]/(AssignmentTable[[#This Row],[_FinishWD]]-AssignmentTable[[#This Row],[_StartWD]]+1))</f>
        <v>0</v>
      </c>
      <c r="P80" s="41" t="n">
        <f aca="false">AssignmentTable[[#This Row],[_WorkPerWD]]*MAX(0,AssignmentTable[[#This Row],[_StartWD]]-1)</f>
        <v>0</v>
      </c>
      <c r="Q80" s="41" t="n">
        <f aca="false">IF(AssignmentTable[[#This Row],[_Valid]]=1,AssignmentTable[[#This Row],[Work]]*N(INDEX(tsk_LeafProgress,AssignmentTable[[#This Row],[_TaskPos]])),0)</f>
        <v>0</v>
      </c>
      <c r="R80" s="41" t="n">
        <f aca="false">IF(NOT(AssignmentTable[[#This Row],[_Valid]]=1),0,IF(N(INDEX(tsk_LeafTotalCost,AssignmentTable[[#This Row],[_TaskPos]]))=0,0,N(INDEX(tsk_LeafAC,AssignmentTable[[#This Row],[_TaskPos]]))*AssignmentTable[[#This Row],[Cost]]/INDEX(tsk_LeafTotalCost,AssignmentTable[[#This Row],[_TaskPos]])))</f>
        <v>0</v>
      </c>
      <c r="S80" s="41" t="n">
        <f aca="false">IF(NOT(AssignmentTable[[#This Row],[_Valid]]=1),0,IF(N(INDEX(tsk_LateKey,AssignmentTable[[#This Row],[_TaskPos]]))&gt;0,1,0))</f>
        <v>0</v>
      </c>
      <c r="T80" s="41" t="n">
        <f aca="false">IF(NOT(AssignmentTable[[#This Row],[_Valid]]=1),0,IF(INDEX(tsk_Critical,AssignmentTable[[#This Row],[_TaskPos]])="Yes",1,0))</f>
        <v>0</v>
      </c>
      <c r="U8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29"/>
      <c r="C81" s="24" t="str">
        <f aca="false">IF(AssignmentTable[[#This Row],[_TaskPos]]&lt;=0,"",INDEX(tsk_Name,AssignmentTable[[#This Row],[_TaskPos]])&amp;"")</f>
        <v/>
      </c>
      <c r="D81" s="30"/>
      <c r="E81" s="80"/>
      <c r="F81" s="96" t="n">
        <f aca="false">IF(AssignmentTable[[#This Row],[_Valid]]=1,N(INDEX(tsk_Duration,AssignmentTable[[#This Row],[_TaskPos]]))*HoursPerDay*IF(AssignmentTable[[#This Row],[Units]]="",DefaultUnits,AssignmentTable[[#This Row],[Units]]),0)</f>
        <v>0</v>
      </c>
      <c r="G81" s="97" t="n">
        <f aca="false">IF(AssignmentTable[[#This Row],[Work]]=0,0,AssignmentTable[[#This Row],[Work]]*IFERROR(INDEX(res_Rate,MATCH(AssignmentTable[[#This Row],[Resource]],res_Name,0)),0))</f>
        <v>0</v>
      </c>
      <c r="H8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41" t="n">
        <f aca="false">IF(N(AssignmentTable[[#This Row],[Task UID]])=0,0,IFERROR(MATCH(AssignmentTable[[#This Row],[Task UID]],tsk_UID,0),-1))</f>
        <v>0</v>
      </c>
      <c r="J81" s="41" t="n">
        <f aca="false">IF(AND(AssignmentTable[[#This Row],[_TaskPos]]&gt;0,AssignmentTable[[#This Row],[Resource]]&lt;&gt;"",AssignmentTable[[#This Row],[Check]]=""),1,0)</f>
        <v>0</v>
      </c>
      <c r="K81" s="41" t="str">
        <f aca="false">IF(AssignmentTable[[#This Row],[_Valid]]=1,AssignmentTable[[#This Row],[Task UID]]*1000+COUNTIFS(AssignmentTable[[#Headers],[Task UID]]:AssignmentTable[[#This Row],[Task UID]],AssignmentTable[[#This Row],[Task UID]],AssignmentTable[[#Headers],[_Valid]]:AssignmentTable[[#This Row],[_Valid]],1),"")</f>
        <v/>
      </c>
      <c r="L81" s="41" t="str">
        <f aca="false">IF(AssignmentTable[[#This Row],[_Valid]]=1,AssignmentTable[[#This Row],[Resource]]&amp;IF(OR(AssignmentTable[[#This Row],[Units]]="",AssignmentTable[[#This Row],[Units]]=1),"","["&amp;ROUND(AssignmentTable[[#This Row],[Units]]*100,0)&amp;"%]"),"")</f>
        <v/>
      </c>
      <c r="M81" s="41" t="n">
        <f aca="false">IF(AssignmentTable[[#This Row],[_Valid]]=1,N(INDEX(tsk_StartWD,AssignmentTable[[#This Row],[_TaskPos]])),0)</f>
        <v>0</v>
      </c>
      <c r="N81" s="41" t="n">
        <f aca="false">IF(AssignmentTable[[#This Row],[_Valid]]=1,N(INDEX(tsk_FinishWD,AssignmentTable[[#This Row],[_TaskPos]])),0)</f>
        <v>0</v>
      </c>
      <c r="O81" s="41" t="n">
        <f aca="false">IF(OR(AssignmentTable[[#This Row],[Work]]=0,AssignmentTable[[#This Row],[_FinishWD]]=0),0,AssignmentTable[[#This Row],[Work]]/(AssignmentTable[[#This Row],[_FinishWD]]-AssignmentTable[[#This Row],[_StartWD]]+1))</f>
        <v>0</v>
      </c>
      <c r="P81" s="41" t="n">
        <f aca="false">AssignmentTable[[#This Row],[_WorkPerWD]]*MAX(0,AssignmentTable[[#This Row],[_StartWD]]-1)</f>
        <v>0</v>
      </c>
      <c r="Q81" s="41" t="n">
        <f aca="false">IF(AssignmentTable[[#This Row],[_Valid]]=1,AssignmentTable[[#This Row],[Work]]*N(INDEX(tsk_LeafProgress,AssignmentTable[[#This Row],[_TaskPos]])),0)</f>
        <v>0</v>
      </c>
      <c r="R81" s="41" t="n">
        <f aca="false">IF(NOT(AssignmentTable[[#This Row],[_Valid]]=1),0,IF(N(INDEX(tsk_LeafTotalCost,AssignmentTable[[#This Row],[_TaskPos]]))=0,0,N(INDEX(tsk_LeafAC,AssignmentTable[[#This Row],[_TaskPos]]))*AssignmentTable[[#This Row],[Cost]]/INDEX(tsk_LeafTotalCost,AssignmentTable[[#This Row],[_TaskPos]])))</f>
        <v>0</v>
      </c>
      <c r="S81" s="41" t="n">
        <f aca="false">IF(NOT(AssignmentTable[[#This Row],[_Valid]]=1),0,IF(N(INDEX(tsk_LateKey,AssignmentTable[[#This Row],[_TaskPos]]))&gt;0,1,0))</f>
        <v>0</v>
      </c>
      <c r="T81" s="41" t="n">
        <f aca="false">IF(NOT(AssignmentTable[[#This Row],[_Valid]]=1),0,IF(INDEX(tsk_Critical,AssignmentTable[[#This Row],[_TaskPos]])="Yes",1,0))</f>
        <v>0</v>
      </c>
      <c r="U8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29"/>
      <c r="C82" s="24" t="str">
        <f aca="false">IF(AssignmentTable[[#This Row],[_TaskPos]]&lt;=0,"",INDEX(tsk_Name,AssignmentTable[[#This Row],[_TaskPos]])&amp;"")</f>
        <v/>
      </c>
      <c r="D82" s="30"/>
      <c r="E82" s="80"/>
      <c r="F82" s="96" t="n">
        <f aca="false">IF(AssignmentTable[[#This Row],[_Valid]]=1,N(INDEX(tsk_Duration,AssignmentTable[[#This Row],[_TaskPos]]))*HoursPerDay*IF(AssignmentTable[[#This Row],[Units]]="",DefaultUnits,AssignmentTable[[#This Row],[Units]]),0)</f>
        <v>0</v>
      </c>
      <c r="G82" s="97" t="n">
        <f aca="false">IF(AssignmentTable[[#This Row],[Work]]=0,0,AssignmentTable[[#This Row],[Work]]*IFERROR(INDEX(res_Rate,MATCH(AssignmentTable[[#This Row],[Resource]],res_Name,0)),0))</f>
        <v>0</v>
      </c>
      <c r="H8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41" t="n">
        <f aca="false">IF(N(AssignmentTable[[#This Row],[Task UID]])=0,0,IFERROR(MATCH(AssignmentTable[[#This Row],[Task UID]],tsk_UID,0),-1))</f>
        <v>0</v>
      </c>
      <c r="J82" s="41" t="n">
        <f aca="false">IF(AND(AssignmentTable[[#This Row],[_TaskPos]]&gt;0,AssignmentTable[[#This Row],[Resource]]&lt;&gt;"",AssignmentTable[[#This Row],[Check]]=""),1,0)</f>
        <v>0</v>
      </c>
      <c r="K82" s="41" t="str">
        <f aca="false">IF(AssignmentTable[[#This Row],[_Valid]]=1,AssignmentTable[[#This Row],[Task UID]]*1000+COUNTIFS(AssignmentTable[[#Headers],[Task UID]]:AssignmentTable[[#This Row],[Task UID]],AssignmentTable[[#This Row],[Task UID]],AssignmentTable[[#Headers],[_Valid]]:AssignmentTable[[#This Row],[_Valid]],1),"")</f>
        <v/>
      </c>
      <c r="L82" s="41" t="str">
        <f aca="false">IF(AssignmentTable[[#This Row],[_Valid]]=1,AssignmentTable[[#This Row],[Resource]]&amp;IF(OR(AssignmentTable[[#This Row],[Units]]="",AssignmentTable[[#This Row],[Units]]=1),"","["&amp;ROUND(AssignmentTable[[#This Row],[Units]]*100,0)&amp;"%]"),"")</f>
        <v/>
      </c>
      <c r="M82" s="41" t="n">
        <f aca="false">IF(AssignmentTable[[#This Row],[_Valid]]=1,N(INDEX(tsk_StartWD,AssignmentTable[[#This Row],[_TaskPos]])),0)</f>
        <v>0</v>
      </c>
      <c r="N82" s="41" t="n">
        <f aca="false">IF(AssignmentTable[[#This Row],[_Valid]]=1,N(INDEX(tsk_FinishWD,AssignmentTable[[#This Row],[_TaskPos]])),0)</f>
        <v>0</v>
      </c>
      <c r="O82" s="41" t="n">
        <f aca="false">IF(OR(AssignmentTable[[#This Row],[Work]]=0,AssignmentTable[[#This Row],[_FinishWD]]=0),0,AssignmentTable[[#This Row],[Work]]/(AssignmentTable[[#This Row],[_FinishWD]]-AssignmentTable[[#This Row],[_StartWD]]+1))</f>
        <v>0</v>
      </c>
      <c r="P82" s="41" t="n">
        <f aca="false">AssignmentTable[[#This Row],[_WorkPerWD]]*MAX(0,AssignmentTable[[#This Row],[_StartWD]]-1)</f>
        <v>0</v>
      </c>
      <c r="Q82" s="41" t="n">
        <f aca="false">IF(AssignmentTable[[#This Row],[_Valid]]=1,AssignmentTable[[#This Row],[Work]]*N(INDEX(tsk_LeafProgress,AssignmentTable[[#This Row],[_TaskPos]])),0)</f>
        <v>0</v>
      </c>
      <c r="R82" s="41" t="n">
        <f aca="false">IF(NOT(AssignmentTable[[#This Row],[_Valid]]=1),0,IF(N(INDEX(tsk_LeafTotalCost,AssignmentTable[[#This Row],[_TaskPos]]))=0,0,N(INDEX(tsk_LeafAC,AssignmentTable[[#This Row],[_TaskPos]]))*AssignmentTable[[#This Row],[Cost]]/INDEX(tsk_LeafTotalCost,AssignmentTable[[#This Row],[_TaskPos]])))</f>
        <v>0</v>
      </c>
      <c r="S82" s="41" t="n">
        <f aca="false">IF(NOT(AssignmentTable[[#This Row],[_Valid]]=1),0,IF(N(INDEX(tsk_LateKey,AssignmentTable[[#This Row],[_TaskPos]]))&gt;0,1,0))</f>
        <v>0</v>
      </c>
      <c r="T82" s="41" t="n">
        <f aca="false">IF(NOT(AssignmentTable[[#This Row],[_Valid]]=1),0,IF(INDEX(tsk_Critical,AssignmentTable[[#This Row],[_TaskPos]])="Yes",1,0))</f>
        <v>0</v>
      </c>
      <c r="U8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29"/>
      <c r="C83" s="24" t="str">
        <f aca="false">IF(AssignmentTable[[#This Row],[_TaskPos]]&lt;=0,"",INDEX(tsk_Name,AssignmentTable[[#This Row],[_TaskPos]])&amp;"")</f>
        <v/>
      </c>
      <c r="D83" s="30"/>
      <c r="E83" s="80"/>
      <c r="F83" s="96" t="n">
        <f aca="false">IF(AssignmentTable[[#This Row],[_Valid]]=1,N(INDEX(tsk_Duration,AssignmentTable[[#This Row],[_TaskPos]]))*HoursPerDay*IF(AssignmentTable[[#This Row],[Units]]="",DefaultUnits,AssignmentTable[[#This Row],[Units]]),0)</f>
        <v>0</v>
      </c>
      <c r="G83" s="97" t="n">
        <f aca="false">IF(AssignmentTable[[#This Row],[Work]]=0,0,AssignmentTable[[#This Row],[Work]]*IFERROR(INDEX(res_Rate,MATCH(AssignmentTable[[#This Row],[Resource]],res_Name,0)),0))</f>
        <v>0</v>
      </c>
      <c r="H8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41" t="n">
        <f aca="false">IF(N(AssignmentTable[[#This Row],[Task UID]])=0,0,IFERROR(MATCH(AssignmentTable[[#This Row],[Task UID]],tsk_UID,0),-1))</f>
        <v>0</v>
      </c>
      <c r="J83" s="41" t="n">
        <f aca="false">IF(AND(AssignmentTable[[#This Row],[_TaskPos]]&gt;0,AssignmentTable[[#This Row],[Resource]]&lt;&gt;"",AssignmentTable[[#This Row],[Check]]=""),1,0)</f>
        <v>0</v>
      </c>
      <c r="K83" s="41" t="str">
        <f aca="false">IF(AssignmentTable[[#This Row],[_Valid]]=1,AssignmentTable[[#This Row],[Task UID]]*1000+COUNTIFS(AssignmentTable[[#Headers],[Task UID]]:AssignmentTable[[#This Row],[Task UID]],AssignmentTable[[#This Row],[Task UID]],AssignmentTable[[#Headers],[_Valid]]:AssignmentTable[[#This Row],[_Valid]],1),"")</f>
        <v/>
      </c>
      <c r="L83" s="41" t="str">
        <f aca="false">IF(AssignmentTable[[#This Row],[_Valid]]=1,AssignmentTable[[#This Row],[Resource]]&amp;IF(OR(AssignmentTable[[#This Row],[Units]]="",AssignmentTable[[#This Row],[Units]]=1),"","["&amp;ROUND(AssignmentTable[[#This Row],[Units]]*100,0)&amp;"%]"),"")</f>
        <v/>
      </c>
      <c r="M83" s="41" t="n">
        <f aca="false">IF(AssignmentTable[[#This Row],[_Valid]]=1,N(INDEX(tsk_StartWD,AssignmentTable[[#This Row],[_TaskPos]])),0)</f>
        <v>0</v>
      </c>
      <c r="N83" s="41" t="n">
        <f aca="false">IF(AssignmentTable[[#This Row],[_Valid]]=1,N(INDEX(tsk_FinishWD,AssignmentTable[[#This Row],[_TaskPos]])),0)</f>
        <v>0</v>
      </c>
      <c r="O83" s="41" t="n">
        <f aca="false">IF(OR(AssignmentTable[[#This Row],[Work]]=0,AssignmentTable[[#This Row],[_FinishWD]]=0),0,AssignmentTable[[#This Row],[Work]]/(AssignmentTable[[#This Row],[_FinishWD]]-AssignmentTable[[#This Row],[_StartWD]]+1))</f>
        <v>0</v>
      </c>
      <c r="P83" s="41" t="n">
        <f aca="false">AssignmentTable[[#This Row],[_WorkPerWD]]*MAX(0,AssignmentTable[[#This Row],[_StartWD]]-1)</f>
        <v>0</v>
      </c>
      <c r="Q83" s="41" t="n">
        <f aca="false">IF(AssignmentTable[[#This Row],[_Valid]]=1,AssignmentTable[[#This Row],[Work]]*N(INDEX(tsk_LeafProgress,AssignmentTable[[#This Row],[_TaskPos]])),0)</f>
        <v>0</v>
      </c>
      <c r="R83" s="41" t="n">
        <f aca="false">IF(NOT(AssignmentTable[[#This Row],[_Valid]]=1),0,IF(N(INDEX(tsk_LeafTotalCost,AssignmentTable[[#This Row],[_TaskPos]]))=0,0,N(INDEX(tsk_LeafAC,AssignmentTable[[#This Row],[_TaskPos]]))*AssignmentTable[[#This Row],[Cost]]/INDEX(tsk_LeafTotalCost,AssignmentTable[[#This Row],[_TaskPos]])))</f>
        <v>0</v>
      </c>
      <c r="S83" s="41" t="n">
        <f aca="false">IF(NOT(AssignmentTable[[#This Row],[_Valid]]=1),0,IF(N(INDEX(tsk_LateKey,AssignmentTable[[#This Row],[_TaskPos]]))&gt;0,1,0))</f>
        <v>0</v>
      </c>
      <c r="T83" s="41" t="n">
        <f aca="false">IF(NOT(AssignmentTable[[#This Row],[_Valid]]=1),0,IF(INDEX(tsk_Critical,AssignmentTable[[#This Row],[_TaskPos]])="Yes",1,0))</f>
        <v>0</v>
      </c>
      <c r="U8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29"/>
      <c r="C84" s="24" t="str">
        <f aca="false">IF(AssignmentTable[[#This Row],[_TaskPos]]&lt;=0,"",INDEX(tsk_Name,AssignmentTable[[#This Row],[_TaskPos]])&amp;"")</f>
        <v/>
      </c>
      <c r="D84" s="30"/>
      <c r="E84" s="80"/>
      <c r="F84" s="96" t="n">
        <f aca="false">IF(AssignmentTable[[#This Row],[_Valid]]=1,N(INDEX(tsk_Duration,AssignmentTable[[#This Row],[_TaskPos]]))*HoursPerDay*IF(AssignmentTable[[#This Row],[Units]]="",DefaultUnits,AssignmentTable[[#This Row],[Units]]),0)</f>
        <v>0</v>
      </c>
      <c r="G84" s="97" t="n">
        <f aca="false">IF(AssignmentTable[[#This Row],[Work]]=0,0,AssignmentTable[[#This Row],[Work]]*IFERROR(INDEX(res_Rate,MATCH(AssignmentTable[[#This Row],[Resource]],res_Name,0)),0))</f>
        <v>0</v>
      </c>
      <c r="H8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41" t="n">
        <f aca="false">IF(N(AssignmentTable[[#This Row],[Task UID]])=0,0,IFERROR(MATCH(AssignmentTable[[#This Row],[Task UID]],tsk_UID,0),-1))</f>
        <v>0</v>
      </c>
      <c r="J84" s="41" t="n">
        <f aca="false">IF(AND(AssignmentTable[[#This Row],[_TaskPos]]&gt;0,AssignmentTable[[#This Row],[Resource]]&lt;&gt;"",AssignmentTable[[#This Row],[Check]]=""),1,0)</f>
        <v>0</v>
      </c>
      <c r="K84" s="41" t="str">
        <f aca="false">IF(AssignmentTable[[#This Row],[_Valid]]=1,AssignmentTable[[#This Row],[Task UID]]*1000+COUNTIFS(AssignmentTable[[#Headers],[Task UID]]:AssignmentTable[[#This Row],[Task UID]],AssignmentTable[[#This Row],[Task UID]],AssignmentTable[[#Headers],[_Valid]]:AssignmentTable[[#This Row],[_Valid]],1),"")</f>
        <v/>
      </c>
      <c r="L84" s="41" t="str">
        <f aca="false">IF(AssignmentTable[[#This Row],[_Valid]]=1,AssignmentTable[[#This Row],[Resource]]&amp;IF(OR(AssignmentTable[[#This Row],[Units]]="",AssignmentTable[[#This Row],[Units]]=1),"","["&amp;ROUND(AssignmentTable[[#This Row],[Units]]*100,0)&amp;"%]"),"")</f>
        <v/>
      </c>
      <c r="M84" s="41" t="n">
        <f aca="false">IF(AssignmentTable[[#This Row],[_Valid]]=1,N(INDEX(tsk_StartWD,AssignmentTable[[#This Row],[_TaskPos]])),0)</f>
        <v>0</v>
      </c>
      <c r="N84" s="41" t="n">
        <f aca="false">IF(AssignmentTable[[#This Row],[_Valid]]=1,N(INDEX(tsk_FinishWD,AssignmentTable[[#This Row],[_TaskPos]])),0)</f>
        <v>0</v>
      </c>
      <c r="O84" s="41" t="n">
        <f aca="false">IF(OR(AssignmentTable[[#This Row],[Work]]=0,AssignmentTable[[#This Row],[_FinishWD]]=0),0,AssignmentTable[[#This Row],[Work]]/(AssignmentTable[[#This Row],[_FinishWD]]-AssignmentTable[[#This Row],[_StartWD]]+1))</f>
        <v>0</v>
      </c>
      <c r="P84" s="41" t="n">
        <f aca="false">AssignmentTable[[#This Row],[_WorkPerWD]]*MAX(0,AssignmentTable[[#This Row],[_StartWD]]-1)</f>
        <v>0</v>
      </c>
      <c r="Q84" s="41" t="n">
        <f aca="false">IF(AssignmentTable[[#This Row],[_Valid]]=1,AssignmentTable[[#This Row],[Work]]*N(INDEX(tsk_LeafProgress,AssignmentTable[[#This Row],[_TaskPos]])),0)</f>
        <v>0</v>
      </c>
      <c r="R84" s="41" t="n">
        <f aca="false">IF(NOT(AssignmentTable[[#This Row],[_Valid]]=1),0,IF(N(INDEX(tsk_LeafTotalCost,AssignmentTable[[#This Row],[_TaskPos]]))=0,0,N(INDEX(tsk_LeafAC,AssignmentTable[[#This Row],[_TaskPos]]))*AssignmentTable[[#This Row],[Cost]]/INDEX(tsk_LeafTotalCost,AssignmentTable[[#This Row],[_TaskPos]])))</f>
        <v>0</v>
      </c>
      <c r="S84" s="41" t="n">
        <f aca="false">IF(NOT(AssignmentTable[[#This Row],[_Valid]]=1),0,IF(N(INDEX(tsk_LateKey,AssignmentTable[[#This Row],[_TaskPos]]))&gt;0,1,0))</f>
        <v>0</v>
      </c>
      <c r="T84" s="41" t="n">
        <f aca="false">IF(NOT(AssignmentTable[[#This Row],[_Valid]]=1),0,IF(INDEX(tsk_Critical,AssignmentTable[[#This Row],[_TaskPos]])="Yes",1,0))</f>
        <v>0</v>
      </c>
      <c r="U8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29"/>
      <c r="C85" s="24" t="str">
        <f aca="false">IF(AssignmentTable[[#This Row],[_TaskPos]]&lt;=0,"",INDEX(tsk_Name,AssignmentTable[[#This Row],[_TaskPos]])&amp;"")</f>
        <v/>
      </c>
      <c r="D85" s="30"/>
      <c r="E85" s="80"/>
      <c r="F85" s="96" t="n">
        <f aca="false">IF(AssignmentTable[[#This Row],[_Valid]]=1,N(INDEX(tsk_Duration,AssignmentTable[[#This Row],[_TaskPos]]))*HoursPerDay*IF(AssignmentTable[[#This Row],[Units]]="",DefaultUnits,AssignmentTable[[#This Row],[Units]]),0)</f>
        <v>0</v>
      </c>
      <c r="G85" s="97" t="n">
        <f aca="false">IF(AssignmentTable[[#This Row],[Work]]=0,0,AssignmentTable[[#This Row],[Work]]*IFERROR(INDEX(res_Rate,MATCH(AssignmentTable[[#This Row],[Resource]],res_Name,0)),0))</f>
        <v>0</v>
      </c>
      <c r="H8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41" t="n">
        <f aca="false">IF(N(AssignmentTable[[#This Row],[Task UID]])=0,0,IFERROR(MATCH(AssignmentTable[[#This Row],[Task UID]],tsk_UID,0),-1))</f>
        <v>0</v>
      </c>
      <c r="J85" s="41" t="n">
        <f aca="false">IF(AND(AssignmentTable[[#This Row],[_TaskPos]]&gt;0,AssignmentTable[[#This Row],[Resource]]&lt;&gt;"",AssignmentTable[[#This Row],[Check]]=""),1,0)</f>
        <v>0</v>
      </c>
      <c r="K85" s="41" t="str">
        <f aca="false">IF(AssignmentTable[[#This Row],[_Valid]]=1,AssignmentTable[[#This Row],[Task UID]]*1000+COUNTIFS(AssignmentTable[[#Headers],[Task UID]]:AssignmentTable[[#This Row],[Task UID]],AssignmentTable[[#This Row],[Task UID]],AssignmentTable[[#Headers],[_Valid]]:AssignmentTable[[#This Row],[_Valid]],1),"")</f>
        <v/>
      </c>
      <c r="L85" s="41" t="str">
        <f aca="false">IF(AssignmentTable[[#This Row],[_Valid]]=1,AssignmentTable[[#This Row],[Resource]]&amp;IF(OR(AssignmentTable[[#This Row],[Units]]="",AssignmentTable[[#This Row],[Units]]=1),"","["&amp;ROUND(AssignmentTable[[#This Row],[Units]]*100,0)&amp;"%]"),"")</f>
        <v/>
      </c>
      <c r="M85" s="41" t="n">
        <f aca="false">IF(AssignmentTable[[#This Row],[_Valid]]=1,N(INDEX(tsk_StartWD,AssignmentTable[[#This Row],[_TaskPos]])),0)</f>
        <v>0</v>
      </c>
      <c r="N85" s="41" t="n">
        <f aca="false">IF(AssignmentTable[[#This Row],[_Valid]]=1,N(INDEX(tsk_FinishWD,AssignmentTable[[#This Row],[_TaskPos]])),0)</f>
        <v>0</v>
      </c>
      <c r="O85" s="41" t="n">
        <f aca="false">IF(OR(AssignmentTable[[#This Row],[Work]]=0,AssignmentTable[[#This Row],[_FinishWD]]=0),0,AssignmentTable[[#This Row],[Work]]/(AssignmentTable[[#This Row],[_FinishWD]]-AssignmentTable[[#This Row],[_StartWD]]+1))</f>
        <v>0</v>
      </c>
      <c r="P85" s="41" t="n">
        <f aca="false">AssignmentTable[[#This Row],[_WorkPerWD]]*MAX(0,AssignmentTable[[#This Row],[_StartWD]]-1)</f>
        <v>0</v>
      </c>
      <c r="Q85" s="41" t="n">
        <f aca="false">IF(AssignmentTable[[#This Row],[_Valid]]=1,AssignmentTable[[#This Row],[Work]]*N(INDEX(tsk_LeafProgress,AssignmentTable[[#This Row],[_TaskPos]])),0)</f>
        <v>0</v>
      </c>
      <c r="R85" s="41" t="n">
        <f aca="false">IF(NOT(AssignmentTable[[#This Row],[_Valid]]=1),0,IF(N(INDEX(tsk_LeafTotalCost,AssignmentTable[[#This Row],[_TaskPos]]))=0,0,N(INDEX(tsk_LeafAC,AssignmentTable[[#This Row],[_TaskPos]]))*AssignmentTable[[#This Row],[Cost]]/INDEX(tsk_LeafTotalCost,AssignmentTable[[#This Row],[_TaskPos]])))</f>
        <v>0</v>
      </c>
      <c r="S85" s="41" t="n">
        <f aca="false">IF(NOT(AssignmentTable[[#This Row],[_Valid]]=1),0,IF(N(INDEX(tsk_LateKey,AssignmentTable[[#This Row],[_TaskPos]]))&gt;0,1,0))</f>
        <v>0</v>
      </c>
      <c r="T85" s="41" t="n">
        <f aca="false">IF(NOT(AssignmentTable[[#This Row],[_Valid]]=1),0,IF(INDEX(tsk_Critical,AssignmentTable[[#This Row],[_TaskPos]])="Yes",1,0))</f>
        <v>0</v>
      </c>
      <c r="U8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29"/>
      <c r="C86" s="24" t="str">
        <f aca="false">IF(AssignmentTable[[#This Row],[_TaskPos]]&lt;=0,"",INDEX(tsk_Name,AssignmentTable[[#This Row],[_TaskPos]])&amp;"")</f>
        <v/>
      </c>
      <c r="D86" s="30"/>
      <c r="E86" s="80"/>
      <c r="F86" s="96" t="n">
        <f aca="false">IF(AssignmentTable[[#This Row],[_Valid]]=1,N(INDEX(tsk_Duration,AssignmentTable[[#This Row],[_TaskPos]]))*HoursPerDay*IF(AssignmentTable[[#This Row],[Units]]="",DefaultUnits,AssignmentTable[[#This Row],[Units]]),0)</f>
        <v>0</v>
      </c>
      <c r="G86" s="97" t="n">
        <f aca="false">IF(AssignmentTable[[#This Row],[Work]]=0,0,AssignmentTable[[#This Row],[Work]]*IFERROR(INDEX(res_Rate,MATCH(AssignmentTable[[#This Row],[Resource]],res_Name,0)),0))</f>
        <v>0</v>
      </c>
      <c r="H8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41" t="n">
        <f aca="false">IF(N(AssignmentTable[[#This Row],[Task UID]])=0,0,IFERROR(MATCH(AssignmentTable[[#This Row],[Task UID]],tsk_UID,0),-1))</f>
        <v>0</v>
      </c>
      <c r="J86" s="41" t="n">
        <f aca="false">IF(AND(AssignmentTable[[#This Row],[_TaskPos]]&gt;0,AssignmentTable[[#This Row],[Resource]]&lt;&gt;"",AssignmentTable[[#This Row],[Check]]=""),1,0)</f>
        <v>0</v>
      </c>
      <c r="K86" s="41" t="str">
        <f aca="false">IF(AssignmentTable[[#This Row],[_Valid]]=1,AssignmentTable[[#This Row],[Task UID]]*1000+COUNTIFS(AssignmentTable[[#Headers],[Task UID]]:AssignmentTable[[#This Row],[Task UID]],AssignmentTable[[#This Row],[Task UID]],AssignmentTable[[#Headers],[_Valid]]:AssignmentTable[[#This Row],[_Valid]],1),"")</f>
        <v/>
      </c>
      <c r="L86" s="41" t="str">
        <f aca="false">IF(AssignmentTable[[#This Row],[_Valid]]=1,AssignmentTable[[#This Row],[Resource]]&amp;IF(OR(AssignmentTable[[#This Row],[Units]]="",AssignmentTable[[#This Row],[Units]]=1),"","["&amp;ROUND(AssignmentTable[[#This Row],[Units]]*100,0)&amp;"%]"),"")</f>
        <v/>
      </c>
      <c r="M86" s="41" t="n">
        <f aca="false">IF(AssignmentTable[[#This Row],[_Valid]]=1,N(INDEX(tsk_StartWD,AssignmentTable[[#This Row],[_TaskPos]])),0)</f>
        <v>0</v>
      </c>
      <c r="N86" s="41" t="n">
        <f aca="false">IF(AssignmentTable[[#This Row],[_Valid]]=1,N(INDEX(tsk_FinishWD,AssignmentTable[[#This Row],[_TaskPos]])),0)</f>
        <v>0</v>
      </c>
      <c r="O86" s="41" t="n">
        <f aca="false">IF(OR(AssignmentTable[[#This Row],[Work]]=0,AssignmentTable[[#This Row],[_FinishWD]]=0),0,AssignmentTable[[#This Row],[Work]]/(AssignmentTable[[#This Row],[_FinishWD]]-AssignmentTable[[#This Row],[_StartWD]]+1))</f>
        <v>0</v>
      </c>
      <c r="P86" s="41" t="n">
        <f aca="false">AssignmentTable[[#This Row],[_WorkPerWD]]*MAX(0,AssignmentTable[[#This Row],[_StartWD]]-1)</f>
        <v>0</v>
      </c>
      <c r="Q86" s="41" t="n">
        <f aca="false">IF(AssignmentTable[[#This Row],[_Valid]]=1,AssignmentTable[[#This Row],[Work]]*N(INDEX(tsk_LeafProgress,AssignmentTable[[#This Row],[_TaskPos]])),0)</f>
        <v>0</v>
      </c>
      <c r="R86" s="41" t="n">
        <f aca="false">IF(NOT(AssignmentTable[[#This Row],[_Valid]]=1),0,IF(N(INDEX(tsk_LeafTotalCost,AssignmentTable[[#This Row],[_TaskPos]]))=0,0,N(INDEX(tsk_LeafAC,AssignmentTable[[#This Row],[_TaskPos]]))*AssignmentTable[[#This Row],[Cost]]/INDEX(tsk_LeafTotalCost,AssignmentTable[[#This Row],[_TaskPos]])))</f>
        <v>0</v>
      </c>
      <c r="S86" s="41" t="n">
        <f aca="false">IF(NOT(AssignmentTable[[#This Row],[_Valid]]=1),0,IF(N(INDEX(tsk_LateKey,AssignmentTable[[#This Row],[_TaskPos]]))&gt;0,1,0))</f>
        <v>0</v>
      </c>
      <c r="T86" s="41" t="n">
        <f aca="false">IF(NOT(AssignmentTable[[#This Row],[_Valid]]=1),0,IF(INDEX(tsk_Critical,AssignmentTable[[#This Row],[_TaskPos]])="Yes",1,0))</f>
        <v>0</v>
      </c>
      <c r="U8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29"/>
      <c r="C87" s="24" t="str">
        <f aca="false">IF(AssignmentTable[[#This Row],[_TaskPos]]&lt;=0,"",INDEX(tsk_Name,AssignmentTable[[#This Row],[_TaskPos]])&amp;"")</f>
        <v/>
      </c>
      <c r="D87" s="30"/>
      <c r="E87" s="80"/>
      <c r="F87" s="96" t="n">
        <f aca="false">IF(AssignmentTable[[#This Row],[_Valid]]=1,N(INDEX(tsk_Duration,AssignmentTable[[#This Row],[_TaskPos]]))*HoursPerDay*IF(AssignmentTable[[#This Row],[Units]]="",DefaultUnits,AssignmentTable[[#This Row],[Units]]),0)</f>
        <v>0</v>
      </c>
      <c r="G87" s="97" t="n">
        <f aca="false">IF(AssignmentTable[[#This Row],[Work]]=0,0,AssignmentTable[[#This Row],[Work]]*IFERROR(INDEX(res_Rate,MATCH(AssignmentTable[[#This Row],[Resource]],res_Name,0)),0))</f>
        <v>0</v>
      </c>
      <c r="H8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41" t="n">
        <f aca="false">IF(N(AssignmentTable[[#This Row],[Task UID]])=0,0,IFERROR(MATCH(AssignmentTable[[#This Row],[Task UID]],tsk_UID,0),-1))</f>
        <v>0</v>
      </c>
      <c r="J87" s="41" t="n">
        <f aca="false">IF(AND(AssignmentTable[[#This Row],[_TaskPos]]&gt;0,AssignmentTable[[#This Row],[Resource]]&lt;&gt;"",AssignmentTable[[#This Row],[Check]]=""),1,0)</f>
        <v>0</v>
      </c>
      <c r="K87" s="41" t="str">
        <f aca="false">IF(AssignmentTable[[#This Row],[_Valid]]=1,AssignmentTable[[#This Row],[Task UID]]*1000+COUNTIFS(AssignmentTable[[#Headers],[Task UID]]:AssignmentTable[[#This Row],[Task UID]],AssignmentTable[[#This Row],[Task UID]],AssignmentTable[[#Headers],[_Valid]]:AssignmentTable[[#This Row],[_Valid]],1),"")</f>
        <v/>
      </c>
      <c r="L87" s="41" t="str">
        <f aca="false">IF(AssignmentTable[[#This Row],[_Valid]]=1,AssignmentTable[[#This Row],[Resource]]&amp;IF(OR(AssignmentTable[[#This Row],[Units]]="",AssignmentTable[[#This Row],[Units]]=1),"","["&amp;ROUND(AssignmentTable[[#This Row],[Units]]*100,0)&amp;"%]"),"")</f>
        <v/>
      </c>
      <c r="M87" s="41" t="n">
        <f aca="false">IF(AssignmentTable[[#This Row],[_Valid]]=1,N(INDEX(tsk_StartWD,AssignmentTable[[#This Row],[_TaskPos]])),0)</f>
        <v>0</v>
      </c>
      <c r="N87" s="41" t="n">
        <f aca="false">IF(AssignmentTable[[#This Row],[_Valid]]=1,N(INDEX(tsk_FinishWD,AssignmentTable[[#This Row],[_TaskPos]])),0)</f>
        <v>0</v>
      </c>
      <c r="O87" s="41" t="n">
        <f aca="false">IF(OR(AssignmentTable[[#This Row],[Work]]=0,AssignmentTable[[#This Row],[_FinishWD]]=0),0,AssignmentTable[[#This Row],[Work]]/(AssignmentTable[[#This Row],[_FinishWD]]-AssignmentTable[[#This Row],[_StartWD]]+1))</f>
        <v>0</v>
      </c>
      <c r="P87" s="41" t="n">
        <f aca="false">AssignmentTable[[#This Row],[_WorkPerWD]]*MAX(0,AssignmentTable[[#This Row],[_StartWD]]-1)</f>
        <v>0</v>
      </c>
      <c r="Q87" s="41" t="n">
        <f aca="false">IF(AssignmentTable[[#This Row],[_Valid]]=1,AssignmentTable[[#This Row],[Work]]*N(INDEX(tsk_LeafProgress,AssignmentTable[[#This Row],[_TaskPos]])),0)</f>
        <v>0</v>
      </c>
      <c r="R87" s="41" t="n">
        <f aca="false">IF(NOT(AssignmentTable[[#This Row],[_Valid]]=1),0,IF(N(INDEX(tsk_LeafTotalCost,AssignmentTable[[#This Row],[_TaskPos]]))=0,0,N(INDEX(tsk_LeafAC,AssignmentTable[[#This Row],[_TaskPos]]))*AssignmentTable[[#This Row],[Cost]]/INDEX(tsk_LeafTotalCost,AssignmentTable[[#This Row],[_TaskPos]])))</f>
        <v>0</v>
      </c>
      <c r="S87" s="41" t="n">
        <f aca="false">IF(NOT(AssignmentTable[[#This Row],[_Valid]]=1),0,IF(N(INDEX(tsk_LateKey,AssignmentTable[[#This Row],[_TaskPos]]))&gt;0,1,0))</f>
        <v>0</v>
      </c>
      <c r="T87" s="41" t="n">
        <f aca="false">IF(NOT(AssignmentTable[[#This Row],[_Valid]]=1),0,IF(INDEX(tsk_Critical,AssignmentTable[[#This Row],[_TaskPos]])="Yes",1,0))</f>
        <v>0</v>
      </c>
      <c r="U8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29"/>
      <c r="C88" s="24" t="str">
        <f aca="false">IF(AssignmentTable[[#This Row],[_TaskPos]]&lt;=0,"",INDEX(tsk_Name,AssignmentTable[[#This Row],[_TaskPos]])&amp;"")</f>
        <v/>
      </c>
      <c r="D88" s="30"/>
      <c r="E88" s="80"/>
      <c r="F88" s="96" t="n">
        <f aca="false">IF(AssignmentTable[[#This Row],[_Valid]]=1,N(INDEX(tsk_Duration,AssignmentTable[[#This Row],[_TaskPos]]))*HoursPerDay*IF(AssignmentTable[[#This Row],[Units]]="",DefaultUnits,AssignmentTable[[#This Row],[Units]]),0)</f>
        <v>0</v>
      </c>
      <c r="G88" s="97" t="n">
        <f aca="false">IF(AssignmentTable[[#This Row],[Work]]=0,0,AssignmentTable[[#This Row],[Work]]*IFERROR(INDEX(res_Rate,MATCH(AssignmentTable[[#This Row],[Resource]],res_Name,0)),0))</f>
        <v>0</v>
      </c>
      <c r="H8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41" t="n">
        <f aca="false">IF(N(AssignmentTable[[#This Row],[Task UID]])=0,0,IFERROR(MATCH(AssignmentTable[[#This Row],[Task UID]],tsk_UID,0),-1))</f>
        <v>0</v>
      </c>
      <c r="J88" s="41" t="n">
        <f aca="false">IF(AND(AssignmentTable[[#This Row],[_TaskPos]]&gt;0,AssignmentTable[[#This Row],[Resource]]&lt;&gt;"",AssignmentTable[[#This Row],[Check]]=""),1,0)</f>
        <v>0</v>
      </c>
      <c r="K88" s="41" t="str">
        <f aca="false">IF(AssignmentTable[[#This Row],[_Valid]]=1,AssignmentTable[[#This Row],[Task UID]]*1000+COUNTIFS(AssignmentTable[[#Headers],[Task UID]]:AssignmentTable[[#This Row],[Task UID]],AssignmentTable[[#This Row],[Task UID]],AssignmentTable[[#Headers],[_Valid]]:AssignmentTable[[#This Row],[_Valid]],1),"")</f>
        <v/>
      </c>
      <c r="L88" s="41" t="str">
        <f aca="false">IF(AssignmentTable[[#This Row],[_Valid]]=1,AssignmentTable[[#This Row],[Resource]]&amp;IF(OR(AssignmentTable[[#This Row],[Units]]="",AssignmentTable[[#This Row],[Units]]=1),"","["&amp;ROUND(AssignmentTable[[#This Row],[Units]]*100,0)&amp;"%]"),"")</f>
        <v/>
      </c>
      <c r="M88" s="41" t="n">
        <f aca="false">IF(AssignmentTable[[#This Row],[_Valid]]=1,N(INDEX(tsk_StartWD,AssignmentTable[[#This Row],[_TaskPos]])),0)</f>
        <v>0</v>
      </c>
      <c r="N88" s="41" t="n">
        <f aca="false">IF(AssignmentTable[[#This Row],[_Valid]]=1,N(INDEX(tsk_FinishWD,AssignmentTable[[#This Row],[_TaskPos]])),0)</f>
        <v>0</v>
      </c>
      <c r="O88" s="41" t="n">
        <f aca="false">IF(OR(AssignmentTable[[#This Row],[Work]]=0,AssignmentTable[[#This Row],[_FinishWD]]=0),0,AssignmentTable[[#This Row],[Work]]/(AssignmentTable[[#This Row],[_FinishWD]]-AssignmentTable[[#This Row],[_StartWD]]+1))</f>
        <v>0</v>
      </c>
      <c r="P88" s="41" t="n">
        <f aca="false">AssignmentTable[[#This Row],[_WorkPerWD]]*MAX(0,AssignmentTable[[#This Row],[_StartWD]]-1)</f>
        <v>0</v>
      </c>
      <c r="Q88" s="41" t="n">
        <f aca="false">IF(AssignmentTable[[#This Row],[_Valid]]=1,AssignmentTable[[#This Row],[Work]]*N(INDEX(tsk_LeafProgress,AssignmentTable[[#This Row],[_TaskPos]])),0)</f>
        <v>0</v>
      </c>
      <c r="R88" s="41" t="n">
        <f aca="false">IF(NOT(AssignmentTable[[#This Row],[_Valid]]=1),0,IF(N(INDEX(tsk_LeafTotalCost,AssignmentTable[[#This Row],[_TaskPos]]))=0,0,N(INDEX(tsk_LeafAC,AssignmentTable[[#This Row],[_TaskPos]]))*AssignmentTable[[#This Row],[Cost]]/INDEX(tsk_LeafTotalCost,AssignmentTable[[#This Row],[_TaskPos]])))</f>
        <v>0</v>
      </c>
      <c r="S88" s="41" t="n">
        <f aca="false">IF(NOT(AssignmentTable[[#This Row],[_Valid]]=1),0,IF(N(INDEX(tsk_LateKey,AssignmentTable[[#This Row],[_TaskPos]]))&gt;0,1,0))</f>
        <v>0</v>
      </c>
      <c r="T88" s="41" t="n">
        <f aca="false">IF(NOT(AssignmentTable[[#This Row],[_Valid]]=1),0,IF(INDEX(tsk_Critical,AssignmentTable[[#This Row],[_TaskPos]])="Yes",1,0))</f>
        <v>0</v>
      </c>
      <c r="U8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29"/>
      <c r="C89" s="24" t="str">
        <f aca="false">IF(AssignmentTable[[#This Row],[_TaskPos]]&lt;=0,"",INDEX(tsk_Name,AssignmentTable[[#This Row],[_TaskPos]])&amp;"")</f>
        <v/>
      </c>
      <c r="D89" s="30"/>
      <c r="E89" s="80"/>
      <c r="F89" s="96" t="n">
        <f aca="false">IF(AssignmentTable[[#This Row],[_Valid]]=1,N(INDEX(tsk_Duration,AssignmentTable[[#This Row],[_TaskPos]]))*HoursPerDay*IF(AssignmentTable[[#This Row],[Units]]="",DefaultUnits,AssignmentTable[[#This Row],[Units]]),0)</f>
        <v>0</v>
      </c>
      <c r="G89" s="97" t="n">
        <f aca="false">IF(AssignmentTable[[#This Row],[Work]]=0,0,AssignmentTable[[#This Row],[Work]]*IFERROR(INDEX(res_Rate,MATCH(AssignmentTable[[#This Row],[Resource]],res_Name,0)),0))</f>
        <v>0</v>
      </c>
      <c r="H8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41" t="n">
        <f aca="false">IF(N(AssignmentTable[[#This Row],[Task UID]])=0,0,IFERROR(MATCH(AssignmentTable[[#This Row],[Task UID]],tsk_UID,0),-1))</f>
        <v>0</v>
      </c>
      <c r="J89" s="41" t="n">
        <f aca="false">IF(AND(AssignmentTable[[#This Row],[_TaskPos]]&gt;0,AssignmentTable[[#This Row],[Resource]]&lt;&gt;"",AssignmentTable[[#This Row],[Check]]=""),1,0)</f>
        <v>0</v>
      </c>
      <c r="K89" s="41" t="str">
        <f aca="false">IF(AssignmentTable[[#This Row],[_Valid]]=1,AssignmentTable[[#This Row],[Task UID]]*1000+COUNTIFS(AssignmentTable[[#Headers],[Task UID]]:AssignmentTable[[#This Row],[Task UID]],AssignmentTable[[#This Row],[Task UID]],AssignmentTable[[#Headers],[_Valid]]:AssignmentTable[[#This Row],[_Valid]],1),"")</f>
        <v/>
      </c>
      <c r="L89" s="41" t="str">
        <f aca="false">IF(AssignmentTable[[#This Row],[_Valid]]=1,AssignmentTable[[#This Row],[Resource]]&amp;IF(OR(AssignmentTable[[#This Row],[Units]]="",AssignmentTable[[#This Row],[Units]]=1),"","["&amp;ROUND(AssignmentTable[[#This Row],[Units]]*100,0)&amp;"%]"),"")</f>
        <v/>
      </c>
      <c r="M89" s="41" t="n">
        <f aca="false">IF(AssignmentTable[[#This Row],[_Valid]]=1,N(INDEX(tsk_StartWD,AssignmentTable[[#This Row],[_TaskPos]])),0)</f>
        <v>0</v>
      </c>
      <c r="N89" s="41" t="n">
        <f aca="false">IF(AssignmentTable[[#This Row],[_Valid]]=1,N(INDEX(tsk_FinishWD,AssignmentTable[[#This Row],[_TaskPos]])),0)</f>
        <v>0</v>
      </c>
      <c r="O89" s="41" t="n">
        <f aca="false">IF(OR(AssignmentTable[[#This Row],[Work]]=0,AssignmentTable[[#This Row],[_FinishWD]]=0),0,AssignmentTable[[#This Row],[Work]]/(AssignmentTable[[#This Row],[_FinishWD]]-AssignmentTable[[#This Row],[_StartWD]]+1))</f>
        <v>0</v>
      </c>
      <c r="P89" s="41" t="n">
        <f aca="false">AssignmentTable[[#This Row],[_WorkPerWD]]*MAX(0,AssignmentTable[[#This Row],[_StartWD]]-1)</f>
        <v>0</v>
      </c>
      <c r="Q89" s="41" t="n">
        <f aca="false">IF(AssignmentTable[[#This Row],[_Valid]]=1,AssignmentTable[[#This Row],[Work]]*N(INDEX(tsk_LeafProgress,AssignmentTable[[#This Row],[_TaskPos]])),0)</f>
        <v>0</v>
      </c>
      <c r="R89" s="41" t="n">
        <f aca="false">IF(NOT(AssignmentTable[[#This Row],[_Valid]]=1),0,IF(N(INDEX(tsk_LeafTotalCost,AssignmentTable[[#This Row],[_TaskPos]]))=0,0,N(INDEX(tsk_LeafAC,AssignmentTable[[#This Row],[_TaskPos]]))*AssignmentTable[[#This Row],[Cost]]/INDEX(tsk_LeafTotalCost,AssignmentTable[[#This Row],[_TaskPos]])))</f>
        <v>0</v>
      </c>
      <c r="S89" s="41" t="n">
        <f aca="false">IF(NOT(AssignmentTable[[#This Row],[_Valid]]=1),0,IF(N(INDEX(tsk_LateKey,AssignmentTable[[#This Row],[_TaskPos]]))&gt;0,1,0))</f>
        <v>0</v>
      </c>
      <c r="T89" s="41" t="n">
        <f aca="false">IF(NOT(AssignmentTable[[#This Row],[_Valid]]=1),0,IF(INDEX(tsk_Critical,AssignmentTable[[#This Row],[_TaskPos]])="Yes",1,0))</f>
        <v>0</v>
      </c>
      <c r="U8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29"/>
      <c r="C90" s="24" t="str">
        <f aca="false">IF(AssignmentTable[[#This Row],[_TaskPos]]&lt;=0,"",INDEX(tsk_Name,AssignmentTable[[#This Row],[_TaskPos]])&amp;"")</f>
        <v/>
      </c>
      <c r="D90" s="30"/>
      <c r="E90" s="80"/>
      <c r="F90" s="96" t="n">
        <f aca="false">IF(AssignmentTable[[#This Row],[_Valid]]=1,N(INDEX(tsk_Duration,AssignmentTable[[#This Row],[_TaskPos]]))*HoursPerDay*IF(AssignmentTable[[#This Row],[Units]]="",DefaultUnits,AssignmentTable[[#This Row],[Units]]),0)</f>
        <v>0</v>
      </c>
      <c r="G90" s="97" t="n">
        <f aca="false">IF(AssignmentTable[[#This Row],[Work]]=0,0,AssignmentTable[[#This Row],[Work]]*IFERROR(INDEX(res_Rate,MATCH(AssignmentTable[[#This Row],[Resource]],res_Name,0)),0))</f>
        <v>0</v>
      </c>
      <c r="H9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41" t="n">
        <f aca="false">IF(N(AssignmentTable[[#This Row],[Task UID]])=0,0,IFERROR(MATCH(AssignmentTable[[#This Row],[Task UID]],tsk_UID,0),-1))</f>
        <v>0</v>
      </c>
      <c r="J90" s="41" t="n">
        <f aca="false">IF(AND(AssignmentTable[[#This Row],[_TaskPos]]&gt;0,AssignmentTable[[#This Row],[Resource]]&lt;&gt;"",AssignmentTable[[#This Row],[Check]]=""),1,0)</f>
        <v>0</v>
      </c>
      <c r="K90" s="41" t="str">
        <f aca="false">IF(AssignmentTable[[#This Row],[_Valid]]=1,AssignmentTable[[#This Row],[Task UID]]*1000+COUNTIFS(AssignmentTable[[#Headers],[Task UID]]:AssignmentTable[[#This Row],[Task UID]],AssignmentTable[[#This Row],[Task UID]],AssignmentTable[[#Headers],[_Valid]]:AssignmentTable[[#This Row],[_Valid]],1),"")</f>
        <v/>
      </c>
      <c r="L90" s="41" t="str">
        <f aca="false">IF(AssignmentTable[[#This Row],[_Valid]]=1,AssignmentTable[[#This Row],[Resource]]&amp;IF(OR(AssignmentTable[[#This Row],[Units]]="",AssignmentTable[[#This Row],[Units]]=1),"","["&amp;ROUND(AssignmentTable[[#This Row],[Units]]*100,0)&amp;"%]"),"")</f>
        <v/>
      </c>
      <c r="M90" s="41" t="n">
        <f aca="false">IF(AssignmentTable[[#This Row],[_Valid]]=1,N(INDEX(tsk_StartWD,AssignmentTable[[#This Row],[_TaskPos]])),0)</f>
        <v>0</v>
      </c>
      <c r="N90" s="41" t="n">
        <f aca="false">IF(AssignmentTable[[#This Row],[_Valid]]=1,N(INDEX(tsk_FinishWD,AssignmentTable[[#This Row],[_TaskPos]])),0)</f>
        <v>0</v>
      </c>
      <c r="O90" s="41" t="n">
        <f aca="false">IF(OR(AssignmentTable[[#This Row],[Work]]=0,AssignmentTable[[#This Row],[_FinishWD]]=0),0,AssignmentTable[[#This Row],[Work]]/(AssignmentTable[[#This Row],[_FinishWD]]-AssignmentTable[[#This Row],[_StartWD]]+1))</f>
        <v>0</v>
      </c>
      <c r="P90" s="41" t="n">
        <f aca="false">AssignmentTable[[#This Row],[_WorkPerWD]]*MAX(0,AssignmentTable[[#This Row],[_StartWD]]-1)</f>
        <v>0</v>
      </c>
      <c r="Q90" s="41" t="n">
        <f aca="false">IF(AssignmentTable[[#This Row],[_Valid]]=1,AssignmentTable[[#This Row],[Work]]*N(INDEX(tsk_LeafProgress,AssignmentTable[[#This Row],[_TaskPos]])),0)</f>
        <v>0</v>
      </c>
      <c r="R90" s="41" t="n">
        <f aca="false">IF(NOT(AssignmentTable[[#This Row],[_Valid]]=1),0,IF(N(INDEX(tsk_LeafTotalCost,AssignmentTable[[#This Row],[_TaskPos]]))=0,0,N(INDEX(tsk_LeafAC,AssignmentTable[[#This Row],[_TaskPos]]))*AssignmentTable[[#This Row],[Cost]]/INDEX(tsk_LeafTotalCost,AssignmentTable[[#This Row],[_TaskPos]])))</f>
        <v>0</v>
      </c>
      <c r="S90" s="41" t="n">
        <f aca="false">IF(NOT(AssignmentTable[[#This Row],[_Valid]]=1),0,IF(N(INDEX(tsk_LateKey,AssignmentTable[[#This Row],[_TaskPos]]))&gt;0,1,0))</f>
        <v>0</v>
      </c>
      <c r="T90" s="41" t="n">
        <f aca="false">IF(NOT(AssignmentTable[[#This Row],[_Valid]]=1),0,IF(INDEX(tsk_Critical,AssignmentTable[[#This Row],[_TaskPos]])="Yes",1,0))</f>
        <v>0</v>
      </c>
      <c r="U9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29"/>
      <c r="C91" s="24" t="str">
        <f aca="false">IF(AssignmentTable[[#This Row],[_TaskPos]]&lt;=0,"",INDEX(tsk_Name,AssignmentTable[[#This Row],[_TaskPos]])&amp;"")</f>
        <v/>
      </c>
      <c r="D91" s="30"/>
      <c r="E91" s="80"/>
      <c r="F91" s="96" t="n">
        <f aca="false">IF(AssignmentTable[[#This Row],[_Valid]]=1,N(INDEX(tsk_Duration,AssignmentTable[[#This Row],[_TaskPos]]))*HoursPerDay*IF(AssignmentTable[[#This Row],[Units]]="",DefaultUnits,AssignmentTable[[#This Row],[Units]]),0)</f>
        <v>0</v>
      </c>
      <c r="G91" s="97" t="n">
        <f aca="false">IF(AssignmentTable[[#This Row],[Work]]=0,0,AssignmentTable[[#This Row],[Work]]*IFERROR(INDEX(res_Rate,MATCH(AssignmentTable[[#This Row],[Resource]],res_Name,0)),0))</f>
        <v>0</v>
      </c>
      <c r="H9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41" t="n">
        <f aca="false">IF(N(AssignmentTable[[#This Row],[Task UID]])=0,0,IFERROR(MATCH(AssignmentTable[[#This Row],[Task UID]],tsk_UID,0),-1))</f>
        <v>0</v>
      </c>
      <c r="J91" s="41" t="n">
        <f aca="false">IF(AND(AssignmentTable[[#This Row],[_TaskPos]]&gt;0,AssignmentTable[[#This Row],[Resource]]&lt;&gt;"",AssignmentTable[[#This Row],[Check]]=""),1,0)</f>
        <v>0</v>
      </c>
      <c r="K91" s="41" t="str">
        <f aca="false">IF(AssignmentTable[[#This Row],[_Valid]]=1,AssignmentTable[[#This Row],[Task UID]]*1000+COUNTIFS(AssignmentTable[[#Headers],[Task UID]]:AssignmentTable[[#This Row],[Task UID]],AssignmentTable[[#This Row],[Task UID]],AssignmentTable[[#Headers],[_Valid]]:AssignmentTable[[#This Row],[_Valid]],1),"")</f>
        <v/>
      </c>
      <c r="L91" s="41" t="str">
        <f aca="false">IF(AssignmentTable[[#This Row],[_Valid]]=1,AssignmentTable[[#This Row],[Resource]]&amp;IF(OR(AssignmentTable[[#This Row],[Units]]="",AssignmentTable[[#This Row],[Units]]=1),"","["&amp;ROUND(AssignmentTable[[#This Row],[Units]]*100,0)&amp;"%]"),"")</f>
        <v/>
      </c>
      <c r="M91" s="41" t="n">
        <f aca="false">IF(AssignmentTable[[#This Row],[_Valid]]=1,N(INDEX(tsk_StartWD,AssignmentTable[[#This Row],[_TaskPos]])),0)</f>
        <v>0</v>
      </c>
      <c r="N91" s="41" t="n">
        <f aca="false">IF(AssignmentTable[[#This Row],[_Valid]]=1,N(INDEX(tsk_FinishWD,AssignmentTable[[#This Row],[_TaskPos]])),0)</f>
        <v>0</v>
      </c>
      <c r="O91" s="41" t="n">
        <f aca="false">IF(OR(AssignmentTable[[#This Row],[Work]]=0,AssignmentTable[[#This Row],[_FinishWD]]=0),0,AssignmentTable[[#This Row],[Work]]/(AssignmentTable[[#This Row],[_FinishWD]]-AssignmentTable[[#This Row],[_StartWD]]+1))</f>
        <v>0</v>
      </c>
      <c r="P91" s="41" t="n">
        <f aca="false">AssignmentTable[[#This Row],[_WorkPerWD]]*MAX(0,AssignmentTable[[#This Row],[_StartWD]]-1)</f>
        <v>0</v>
      </c>
      <c r="Q91" s="41" t="n">
        <f aca="false">IF(AssignmentTable[[#This Row],[_Valid]]=1,AssignmentTable[[#This Row],[Work]]*N(INDEX(tsk_LeafProgress,AssignmentTable[[#This Row],[_TaskPos]])),0)</f>
        <v>0</v>
      </c>
      <c r="R91" s="41" t="n">
        <f aca="false">IF(NOT(AssignmentTable[[#This Row],[_Valid]]=1),0,IF(N(INDEX(tsk_LeafTotalCost,AssignmentTable[[#This Row],[_TaskPos]]))=0,0,N(INDEX(tsk_LeafAC,AssignmentTable[[#This Row],[_TaskPos]]))*AssignmentTable[[#This Row],[Cost]]/INDEX(tsk_LeafTotalCost,AssignmentTable[[#This Row],[_TaskPos]])))</f>
        <v>0</v>
      </c>
      <c r="S91" s="41" t="n">
        <f aca="false">IF(NOT(AssignmentTable[[#This Row],[_Valid]]=1),0,IF(N(INDEX(tsk_LateKey,AssignmentTable[[#This Row],[_TaskPos]]))&gt;0,1,0))</f>
        <v>0</v>
      </c>
      <c r="T91" s="41" t="n">
        <f aca="false">IF(NOT(AssignmentTable[[#This Row],[_Valid]]=1),0,IF(INDEX(tsk_Critical,AssignmentTable[[#This Row],[_TaskPos]])="Yes",1,0))</f>
        <v>0</v>
      </c>
      <c r="U9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29"/>
      <c r="C92" s="24" t="str">
        <f aca="false">IF(AssignmentTable[[#This Row],[_TaskPos]]&lt;=0,"",INDEX(tsk_Name,AssignmentTable[[#This Row],[_TaskPos]])&amp;"")</f>
        <v/>
      </c>
      <c r="D92" s="30"/>
      <c r="E92" s="80"/>
      <c r="F92" s="96" t="n">
        <f aca="false">IF(AssignmentTable[[#This Row],[_Valid]]=1,N(INDEX(tsk_Duration,AssignmentTable[[#This Row],[_TaskPos]]))*HoursPerDay*IF(AssignmentTable[[#This Row],[Units]]="",DefaultUnits,AssignmentTable[[#This Row],[Units]]),0)</f>
        <v>0</v>
      </c>
      <c r="G92" s="97" t="n">
        <f aca="false">IF(AssignmentTable[[#This Row],[Work]]=0,0,AssignmentTable[[#This Row],[Work]]*IFERROR(INDEX(res_Rate,MATCH(AssignmentTable[[#This Row],[Resource]],res_Name,0)),0))</f>
        <v>0</v>
      </c>
      <c r="H9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41" t="n">
        <f aca="false">IF(N(AssignmentTable[[#This Row],[Task UID]])=0,0,IFERROR(MATCH(AssignmentTable[[#This Row],[Task UID]],tsk_UID,0),-1))</f>
        <v>0</v>
      </c>
      <c r="J92" s="41" t="n">
        <f aca="false">IF(AND(AssignmentTable[[#This Row],[_TaskPos]]&gt;0,AssignmentTable[[#This Row],[Resource]]&lt;&gt;"",AssignmentTable[[#This Row],[Check]]=""),1,0)</f>
        <v>0</v>
      </c>
      <c r="K92" s="41" t="str">
        <f aca="false">IF(AssignmentTable[[#This Row],[_Valid]]=1,AssignmentTable[[#This Row],[Task UID]]*1000+COUNTIFS(AssignmentTable[[#Headers],[Task UID]]:AssignmentTable[[#This Row],[Task UID]],AssignmentTable[[#This Row],[Task UID]],AssignmentTable[[#Headers],[_Valid]]:AssignmentTable[[#This Row],[_Valid]],1),"")</f>
        <v/>
      </c>
      <c r="L92" s="41" t="str">
        <f aca="false">IF(AssignmentTable[[#This Row],[_Valid]]=1,AssignmentTable[[#This Row],[Resource]]&amp;IF(OR(AssignmentTable[[#This Row],[Units]]="",AssignmentTable[[#This Row],[Units]]=1),"","["&amp;ROUND(AssignmentTable[[#This Row],[Units]]*100,0)&amp;"%]"),"")</f>
        <v/>
      </c>
      <c r="M92" s="41" t="n">
        <f aca="false">IF(AssignmentTable[[#This Row],[_Valid]]=1,N(INDEX(tsk_StartWD,AssignmentTable[[#This Row],[_TaskPos]])),0)</f>
        <v>0</v>
      </c>
      <c r="N92" s="41" t="n">
        <f aca="false">IF(AssignmentTable[[#This Row],[_Valid]]=1,N(INDEX(tsk_FinishWD,AssignmentTable[[#This Row],[_TaskPos]])),0)</f>
        <v>0</v>
      </c>
      <c r="O92" s="41" t="n">
        <f aca="false">IF(OR(AssignmentTable[[#This Row],[Work]]=0,AssignmentTable[[#This Row],[_FinishWD]]=0),0,AssignmentTable[[#This Row],[Work]]/(AssignmentTable[[#This Row],[_FinishWD]]-AssignmentTable[[#This Row],[_StartWD]]+1))</f>
        <v>0</v>
      </c>
      <c r="P92" s="41" t="n">
        <f aca="false">AssignmentTable[[#This Row],[_WorkPerWD]]*MAX(0,AssignmentTable[[#This Row],[_StartWD]]-1)</f>
        <v>0</v>
      </c>
      <c r="Q92" s="41" t="n">
        <f aca="false">IF(AssignmentTable[[#This Row],[_Valid]]=1,AssignmentTable[[#This Row],[Work]]*N(INDEX(tsk_LeafProgress,AssignmentTable[[#This Row],[_TaskPos]])),0)</f>
        <v>0</v>
      </c>
      <c r="R92" s="41" t="n">
        <f aca="false">IF(NOT(AssignmentTable[[#This Row],[_Valid]]=1),0,IF(N(INDEX(tsk_LeafTotalCost,AssignmentTable[[#This Row],[_TaskPos]]))=0,0,N(INDEX(tsk_LeafAC,AssignmentTable[[#This Row],[_TaskPos]]))*AssignmentTable[[#This Row],[Cost]]/INDEX(tsk_LeafTotalCost,AssignmentTable[[#This Row],[_TaskPos]])))</f>
        <v>0</v>
      </c>
      <c r="S92" s="41" t="n">
        <f aca="false">IF(NOT(AssignmentTable[[#This Row],[_Valid]]=1),0,IF(N(INDEX(tsk_LateKey,AssignmentTable[[#This Row],[_TaskPos]]))&gt;0,1,0))</f>
        <v>0</v>
      </c>
      <c r="T92" s="41" t="n">
        <f aca="false">IF(NOT(AssignmentTable[[#This Row],[_Valid]]=1),0,IF(INDEX(tsk_Critical,AssignmentTable[[#This Row],[_TaskPos]])="Yes",1,0))</f>
        <v>0</v>
      </c>
      <c r="U9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29"/>
      <c r="C93" s="24" t="str">
        <f aca="false">IF(AssignmentTable[[#This Row],[_TaskPos]]&lt;=0,"",INDEX(tsk_Name,AssignmentTable[[#This Row],[_TaskPos]])&amp;"")</f>
        <v/>
      </c>
      <c r="D93" s="30"/>
      <c r="E93" s="80"/>
      <c r="F93" s="96" t="n">
        <f aca="false">IF(AssignmentTable[[#This Row],[_Valid]]=1,N(INDEX(tsk_Duration,AssignmentTable[[#This Row],[_TaskPos]]))*HoursPerDay*IF(AssignmentTable[[#This Row],[Units]]="",DefaultUnits,AssignmentTable[[#This Row],[Units]]),0)</f>
        <v>0</v>
      </c>
      <c r="G93" s="97" t="n">
        <f aca="false">IF(AssignmentTable[[#This Row],[Work]]=0,0,AssignmentTable[[#This Row],[Work]]*IFERROR(INDEX(res_Rate,MATCH(AssignmentTable[[#This Row],[Resource]],res_Name,0)),0))</f>
        <v>0</v>
      </c>
      <c r="H9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41" t="n">
        <f aca="false">IF(N(AssignmentTable[[#This Row],[Task UID]])=0,0,IFERROR(MATCH(AssignmentTable[[#This Row],[Task UID]],tsk_UID,0),-1))</f>
        <v>0</v>
      </c>
      <c r="J93" s="41" t="n">
        <f aca="false">IF(AND(AssignmentTable[[#This Row],[_TaskPos]]&gt;0,AssignmentTable[[#This Row],[Resource]]&lt;&gt;"",AssignmentTable[[#This Row],[Check]]=""),1,0)</f>
        <v>0</v>
      </c>
      <c r="K93" s="41" t="str">
        <f aca="false">IF(AssignmentTable[[#This Row],[_Valid]]=1,AssignmentTable[[#This Row],[Task UID]]*1000+COUNTIFS(AssignmentTable[[#Headers],[Task UID]]:AssignmentTable[[#This Row],[Task UID]],AssignmentTable[[#This Row],[Task UID]],AssignmentTable[[#Headers],[_Valid]]:AssignmentTable[[#This Row],[_Valid]],1),"")</f>
        <v/>
      </c>
      <c r="L93" s="41" t="str">
        <f aca="false">IF(AssignmentTable[[#This Row],[_Valid]]=1,AssignmentTable[[#This Row],[Resource]]&amp;IF(OR(AssignmentTable[[#This Row],[Units]]="",AssignmentTable[[#This Row],[Units]]=1),"","["&amp;ROUND(AssignmentTable[[#This Row],[Units]]*100,0)&amp;"%]"),"")</f>
        <v/>
      </c>
      <c r="M93" s="41" t="n">
        <f aca="false">IF(AssignmentTable[[#This Row],[_Valid]]=1,N(INDEX(tsk_StartWD,AssignmentTable[[#This Row],[_TaskPos]])),0)</f>
        <v>0</v>
      </c>
      <c r="N93" s="41" t="n">
        <f aca="false">IF(AssignmentTable[[#This Row],[_Valid]]=1,N(INDEX(tsk_FinishWD,AssignmentTable[[#This Row],[_TaskPos]])),0)</f>
        <v>0</v>
      </c>
      <c r="O93" s="41" t="n">
        <f aca="false">IF(OR(AssignmentTable[[#This Row],[Work]]=0,AssignmentTable[[#This Row],[_FinishWD]]=0),0,AssignmentTable[[#This Row],[Work]]/(AssignmentTable[[#This Row],[_FinishWD]]-AssignmentTable[[#This Row],[_StartWD]]+1))</f>
        <v>0</v>
      </c>
      <c r="P93" s="41" t="n">
        <f aca="false">AssignmentTable[[#This Row],[_WorkPerWD]]*MAX(0,AssignmentTable[[#This Row],[_StartWD]]-1)</f>
        <v>0</v>
      </c>
      <c r="Q93" s="41" t="n">
        <f aca="false">IF(AssignmentTable[[#This Row],[_Valid]]=1,AssignmentTable[[#This Row],[Work]]*N(INDEX(tsk_LeafProgress,AssignmentTable[[#This Row],[_TaskPos]])),0)</f>
        <v>0</v>
      </c>
      <c r="R93" s="41" t="n">
        <f aca="false">IF(NOT(AssignmentTable[[#This Row],[_Valid]]=1),0,IF(N(INDEX(tsk_LeafTotalCost,AssignmentTable[[#This Row],[_TaskPos]]))=0,0,N(INDEX(tsk_LeafAC,AssignmentTable[[#This Row],[_TaskPos]]))*AssignmentTable[[#This Row],[Cost]]/INDEX(tsk_LeafTotalCost,AssignmentTable[[#This Row],[_TaskPos]])))</f>
        <v>0</v>
      </c>
      <c r="S93" s="41" t="n">
        <f aca="false">IF(NOT(AssignmentTable[[#This Row],[_Valid]]=1),0,IF(N(INDEX(tsk_LateKey,AssignmentTable[[#This Row],[_TaskPos]]))&gt;0,1,0))</f>
        <v>0</v>
      </c>
      <c r="T93" s="41" t="n">
        <f aca="false">IF(NOT(AssignmentTable[[#This Row],[_Valid]]=1),0,IF(INDEX(tsk_Critical,AssignmentTable[[#This Row],[_TaskPos]])="Yes",1,0))</f>
        <v>0</v>
      </c>
      <c r="U9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29"/>
      <c r="C94" s="24" t="str">
        <f aca="false">IF(AssignmentTable[[#This Row],[_TaskPos]]&lt;=0,"",INDEX(tsk_Name,AssignmentTable[[#This Row],[_TaskPos]])&amp;"")</f>
        <v/>
      </c>
      <c r="D94" s="30"/>
      <c r="E94" s="80"/>
      <c r="F94" s="96" t="n">
        <f aca="false">IF(AssignmentTable[[#This Row],[_Valid]]=1,N(INDEX(tsk_Duration,AssignmentTable[[#This Row],[_TaskPos]]))*HoursPerDay*IF(AssignmentTable[[#This Row],[Units]]="",DefaultUnits,AssignmentTable[[#This Row],[Units]]),0)</f>
        <v>0</v>
      </c>
      <c r="G94" s="97" t="n">
        <f aca="false">IF(AssignmentTable[[#This Row],[Work]]=0,0,AssignmentTable[[#This Row],[Work]]*IFERROR(INDEX(res_Rate,MATCH(AssignmentTable[[#This Row],[Resource]],res_Name,0)),0))</f>
        <v>0</v>
      </c>
      <c r="H9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41" t="n">
        <f aca="false">IF(N(AssignmentTable[[#This Row],[Task UID]])=0,0,IFERROR(MATCH(AssignmentTable[[#This Row],[Task UID]],tsk_UID,0),-1))</f>
        <v>0</v>
      </c>
      <c r="J94" s="41" t="n">
        <f aca="false">IF(AND(AssignmentTable[[#This Row],[_TaskPos]]&gt;0,AssignmentTable[[#This Row],[Resource]]&lt;&gt;"",AssignmentTable[[#This Row],[Check]]=""),1,0)</f>
        <v>0</v>
      </c>
      <c r="K94" s="41" t="str">
        <f aca="false">IF(AssignmentTable[[#This Row],[_Valid]]=1,AssignmentTable[[#This Row],[Task UID]]*1000+COUNTIFS(AssignmentTable[[#Headers],[Task UID]]:AssignmentTable[[#This Row],[Task UID]],AssignmentTable[[#This Row],[Task UID]],AssignmentTable[[#Headers],[_Valid]]:AssignmentTable[[#This Row],[_Valid]],1),"")</f>
        <v/>
      </c>
      <c r="L94" s="41" t="str">
        <f aca="false">IF(AssignmentTable[[#This Row],[_Valid]]=1,AssignmentTable[[#This Row],[Resource]]&amp;IF(OR(AssignmentTable[[#This Row],[Units]]="",AssignmentTable[[#This Row],[Units]]=1),"","["&amp;ROUND(AssignmentTable[[#This Row],[Units]]*100,0)&amp;"%]"),"")</f>
        <v/>
      </c>
      <c r="M94" s="41" t="n">
        <f aca="false">IF(AssignmentTable[[#This Row],[_Valid]]=1,N(INDEX(tsk_StartWD,AssignmentTable[[#This Row],[_TaskPos]])),0)</f>
        <v>0</v>
      </c>
      <c r="N94" s="41" t="n">
        <f aca="false">IF(AssignmentTable[[#This Row],[_Valid]]=1,N(INDEX(tsk_FinishWD,AssignmentTable[[#This Row],[_TaskPos]])),0)</f>
        <v>0</v>
      </c>
      <c r="O94" s="41" t="n">
        <f aca="false">IF(OR(AssignmentTable[[#This Row],[Work]]=0,AssignmentTable[[#This Row],[_FinishWD]]=0),0,AssignmentTable[[#This Row],[Work]]/(AssignmentTable[[#This Row],[_FinishWD]]-AssignmentTable[[#This Row],[_StartWD]]+1))</f>
        <v>0</v>
      </c>
      <c r="P94" s="41" t="n">
        <f aca="false">AssignmentTable[[#This Row],[_WorkPerWD]]*MAX(0,AssignmentTable[[#This Row],[_StartWD]]-1)</f>
        <v>0</v>
      </c>
      <c r="Q94" s="41" t="n">
        <f aca="false">IF(AssignmentTable[[#This Row],[_Valid]]=1,AssignmentTable[[#This Row],[Work]]*N(INDEX(tsk_LeafProgress,AssignmentTable[[#This Row],[_TaskPos]])),0)</f>
        <v>0</v>
      </c>
      <c r="R94" s="41" t="n">
        <f aca="false">IF(NOT(AssignmentTable[[#This Row],[_Valid]]=1),0,IF(N(INDEX(tsk_LeafTotalCost,AssignmentTable[[#This Row],[_TaskPos]]))=0,0,N(INDEX(tsk_LeafAC,AssignmentTable[[#This Row],[_TaskPos]]))*AssignmentTable[[#This Row],[Cost]]/INDEX(tsk_LeafTotalCost,AssignmentTable[[#This Row],[_TaskPos]])))</f>
        <v>0</v>
      </c>
      <c r="S94" s="41" t="n">
        <f aca="false">IF(NOT(AssignmentTable[[#This Row],[_Valid]]=1),0,IF(N(INDEX(tsk_LateKey,AssignmentTable[[#This Row],[_TaskPos]]))&gt;0,1,0))</f>
        <v>0</v>
      </c>
      <c r="T94" s="41" t="n">
        <f aca="false">IF(NOT(AssignmentTable[[#This Row],[_Valid]]=1),0,IF(INDEX(tsk_Critical,AssignmentTable[[#This Row],[_TaskPos]])="Yes",1,0))</f>
        <v>0</v>
      </c>
      <c r="U9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29"/>
      <c r="C95" s="24" t="str">
        <f aca="false">IF(AssignmentTable[[#This Row],[_TaskPos]]&lt;=0,"",INDEX(tsk_Name,AssignmentTable[[#This Row],[_TaskPos]])&amp;"")</f>
        <v/>
      </c>
      <c r="D95" s="30"/>
      <c r="E95" s="80"/>
      <c r="F95" s="96" t="n">
        <f aca="false">IF(AssignmentTable[[#This Row],[_Valid]]=1,N(INDEX(tsk_Duration,AssignmentTable[[#This Row],[_TaskPos]]))*HoursPerDay*IF(AssignmentTable[[#This Row],[Units]]="",DefaultUnits,AssignmentTable[[#This Row],[Units]]),0)</f>
        <v>0</v>
      </c>
      <c r="G95" s="97" t="n">
        <f aca="false">IF(AssignmentTable[[#This Row],[Work]]=0,0,AssignmentTable[[#This Row],[Work]]*IFERROR(INDEX(res_Rate,MATCH(AssignmentTable[[#This Row],[Resource]],res_Name,0)),0))</f>
        <v>0</v>
      </c>
      <c r="H9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41" t="n">
        <f aca="false">IF(N(AssignmentTable[[#This Row],[Task UID]])=0,0,IFERROR(MATCH(AssignmentTable[[#This Row],[Task UID]],tsk_UID,0),-1))</f>
        <v>0</v>
      </c>
      <c r="J95" s="41" t="n">
        <f aca="false">IF(AND(AssignmentTable[[#This Row],[_TaskPos]]&gt;0,AssignmentTable[[#This Row],[Resource]]&lt;&gt;"",AssignmentTable[[#This Row],[Check]]=""),1,0)</f>
        <v>0</v>
      </c>
      <c r="K95" s="41" t="str">
        <f aca="false">IF(AssignmentTable[[#This Row],[_Valid]]=1,AssignmentTable[[#This Row],[Task UID]]*1000+COUNTIFS(AssignmentTable[[#Headers],[Task UID]]:AssignmentTable[[#This Row],[Task UID]],AssignmentTable[[#This Row],[Task UID]],AssignmentTable[[#Headers],[_Valid]]:AssignmentTable[[#This Row],[_Valid]],1),"")</f>
        <v/>
      </c>
      <c r="L95" s="41" t="str">
        <f aca="false">IF(AssignmentTable[[#This Row],[_Valid]]=1,AssignmentTable[[#This Row],[Resource]]&amp;IF(OR(AssignmentTable[[#This Row],[Units]]="",AssignmentTable[[#This Row],[Units]]=1),"","["&amp;ROUND(AssignmentTable[[#This Row],[Units]]*100,0)&amp;"%]"),"")</f>
        <v/>
      </c>
      <c r="M95" s="41" t="n">
        <f aca="false">IF(AssignmentTable[[#This Row],[_Valid]]=1,N(INDEX(tsk_StartWD,AssignmentTable[[#This Row],[_TaskPos]])),0)</f>
        <v>0</v>
      </c>
      <c r="N95" s="41" t="n">
        <f aca="false">IF(AssignmentTable[[#This Row],[_Valid]]=1,N(INDEX(tsk_FinishWD,AssignmentTable[[#This Row],[_TaskPos]])),0)</f>
        <v>0</v>
      </c>
      <c r="O95" s="41" t="n">
        <f aca="false">IF(OR(AssignmentTable[[#This Row],[Work]]=0,AssignmentTable[[#This Row],[_FinishWD]]=0),0,AssignmentTable[[#This Row],[Work]]/(AssignmentTable[[#This Row],[_FinishWD]]-AssignmentTable[[#This Row],[_StartWD]]+1))</f>
        <v>0</v>
      </c>
      <c r="P95" s="41" t="n">
        <f aca="false">AssignmentTable[[#This Row],[_WorkPerWD]]*MAX(0,AssignmentTable[[#This Row],[_StartWD]]-1)</f>
        <v>0</v>
      </c>
      <c r="Q95" s="41" t="n">
        <f aca="false">IF(AssignmentTable[[#This Row],[_Valid]]=1,AssignmentTable[[#This Row],[Work]]*N(INDEX(tsk_LeafProgress,AssignmentTable[[#This Row],[_TaskPos]])),0)</f>
        <v>0</v>
      </c>
      <c r="R95" s="41" t="n">
        <f aca="false">IF(NOT(AssignmentTable[[#This Row],[_Valid]]=1),0,IF(N(INDEX(tsk_LeafTotalCost,AssignmentTable[[#This Row],[_TaskPos]]))=0,0,N(INDEX(tsk_LeafAC,AssignmentTable[[#This Row],[_TaskPos]]))*AssignmentTable[[#This Row],[Cost]]/INDEX(tsk_LeafTotalCost,AssignmentTable[[#This Row],[_TaskPos]])))</f>
        <v>0</v>
      </c>
      <c r="S95" s="41" t="n">
        <f aca="false">IF(NOT(AssignmentTable[[#This Row],[_Valid]]=1),0,IF(N(INDEX(tsk_LateKey,AssignmentTable[[#This Row],[_TaskPos]]))&gt;0,1,0))</f>
        <v>0</v>
      </c>
      <c r="T95" s="41" t="n">
        <f aca="false">IF(NOT(AssignmentTable[[#This Row],[_Valid]]=1),0,IF(INDEX(tsk_Critical,AssignmentTable[[#This Row],[_TaskPos]])="Yes",1,0))</f>
        <v>0</v>
      </c>
      <c r="U9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29"/>
      <c r="C96" s="24" t="str">
        <f aca="false">IF(AssignmentTable[[#This Row],[_TaskPos]]&lt;=0,"",INDEX(tsk_Name,AssignmentTable[[#This Row],[_TaskPos]])&amp;"")</f>
        <v/>
      </c>
      <c r="D96" s="30"/>
      <c r="E96" s="80"/>
      <c r="F96" s="96" t="n">
        <f aca="false">IF(AssignmentTable[[#This Row],[_Valid]]=1,N(INDEX(tsk_Duration,AssignmentTable[[#This Row],[_TaskPos]]))*HoursPerDay*IF(AssignmentTable[[#This Row],[Units]]="",DefaultUnits,AssignmentTable[[#This Row],[Units]]),0)</f>
        <v>0</v>
      </c>
      <c r="G96" s="97" t="n">
        <f aca="false">IF(AssignmentTable[[#This Row],[Work]]=0,0,AssignmentTable[[#This Row],[Work]]*IFERROR(INDEX(res_Rate,MATCH(AssignmentTable[[#This Row],[Resource]],res_Name,0)),0))</f>
        <v>0</v>
      </c>
      <c r="H9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41" t="n">
        <f aca="false">IF(N(AssignmentTable[[#This Row],[Task UID]])=0,0,IFERROR(MATCH(AssignmentTable[[#This Row],[Task UID]],tsk_UID,0),-1))</f>
        <v>0</v>
      </c>
      <c r="J96" s="41" t="n">
        <f aca="false">IF(AND(AssignmentTable[[#This Row],[_TaskPos]]&gt;0,AssignmentTable[[#This Row],[Resource]]&lt;&gt;"",AssignmentTable[[#This Row],[Check]]=""),1,0)</f>
        <v>0</v>
      </c>
      <c r="K96" s="41" t="str">
        <f aca="false">IF(AssignmentTable[[#This Row],[_Valid]]=1,AssignmentTable[[#This Row],[Task UID]]*1000+COUNTIFS(AssignmentTable[[#Headers],[Task UID]]:AssignmentTable[[#This Row],[Task UID]],AssignmentTable[[#This Row],[Task UID]],AssignmentTable[[#Headers],[_Valid]]:AssignmentTable[[#This Row],[_Valid]],1),"")</f>
        <v/>
      </c>
      <c r="L96" s="41" t="str">
        <f aca="false">IF(AssignmentTable[[#This Row],[_Valid]]=1,AssignmentTable[[#This Row],[Resource]]&amp;IF(OR(AssignmentTable[[#This Row],[Units]]="",AssignmentTable[[#This Row],[Units]]=1),"","["&amp;ROUND(AssignmentTable[[#This Row],[Units]]*100,0)&amp;"%]"),"")</f>
        <v/>
      </c>
      <c r="M96" s="41" t="n">
        <f aca="false">IF(AssignmentTable[[#This Row],[_Valid]]=1,N(INDEX(tsk_StartWD,AssignmentTable[[#This Row],[_TaskPos]])),0)</f>
        <v>0</v>
      </c>
      <c r="N96" s="41" t="n">
        <f aca="false">IF(AssignmentTable[[#This Row],[_Valid]]=1,N(INDEX(tsk_FinishWD,AssignmentTable[[#This Row],[_TaskPos]])),0)</f>
        <v>0</v>
      </c>
      <c r="O96" s="41" t="n">
        <f aca="false">IF(OR(AssignmentTable[[#This Row],[Work]]=0,AssignmentTable[[#This Row],[_FinishWD]]=0),0,AssignmentTable[[#This Row],[Work]]/(AssignmentTable[[#This Row],[_FinishWD]]-AssignmentTable[[#This Row],[_StartWD]]+1))</f>
        <v>0</v>
      </c>
      <c r="P96" s="41" t="n">
        <f aca="false">AssignmentTable[[#This Row],[_WorkPerWD]]*MAX(0,AssignmentTable[[#This Row],[_StartWD]]-1)</f>
        <v>0</v>
      </c>
      <c r="Q96" s="41" t="n">
        <f aca="false">IF(AssignmentTable[[#This Row],[_Valid]]=1,AssignmentTable[[#This Row],[Work]]*N(INDEX(tsk_LeafProgress,AssignmentTable[[#This Row],[_TaskPos]])),0)</f>
        <v>0</v>
      </c>
      <c r="R96" s="41" t="n">
        <f aca="false">IF(NOT(AssignmentTable[[#This Row],[_Valid]]=1),0,IF(N(INDEX(tsk_LeafTotalCost,AssignmentTable[[#This Row],[_TaskPos]]))=0,0,N(INDEX(tsk_LeafAC,AssignmentTable[[#This Row],[_TaskPos]]))*AssignmentTable[[#This Row],[Cost]]/INDEX(tsk_LeafTotalCost,AssignmentTable[[#This Row],[_TaskPos]])))</f>
        <v>0</v>
      </c>
      <c r="S96" s="41" t="n">
        <f aca="false">IF(NOT(AssignmentTable[[#This Row],[_Valid]]=1),0,IF(N(INDEX(tsk_LateKey,AssignmentTable[[#This Row],[_TaskPos]]))&gt;0,1,0))</f>
        <v>0</v>
      </c>
      <c r="T96" s="41" t="n">
        <f aca="false">IF(NOT(AssignmentTable[[#This Row],[_Valid]]=1),0,IF(INDEX(tsk_Critical,AssignmentTable[[#This Row],[_TaskPos]])="Yes",1,0))</f>
        <v>0</v>
      </c>
      <c r="U9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29"/>
      <c r="C97" s="24" t="str">
        <f aca="false">IF(AssignmentTable[[#This Row],[_TaskPos]]&lt;=0,"",INDEX(tsk_Name,AssignmentTable[[#This Row],[_TaskPos]])&amp;"")</f>
        <v/>
      </c>
      <c r="D97" s="30"/>
      <c r="E97" s="80"/>
      <c r="F97" s="96" t="n">
        <f aca="false">IF(AssignmentTable[[#This Row],[_Valid]]=1,N(INDEX(tsk_Duration,AssignmentTable[[#This Row],[_TaskPos]]))*HoursPerDay*IF(AssignmentTable[[#This Row],[Units]]="",DefaultUnits,AssignmentTable[[#This Row],[Units]]),0)</f>
        <v>0</v>
      </c>
      <c r="G97" s="97" t="n">
        <f aca="false">IF(AssignmentTable[[#This Row],[Work]]=0,0,AssignmentTable[[#This Row],[Work]]*IFERROR(INDEX(res_Rate,MATCH(AssignmentTable[[#This Row],[Resource]],res_Name,0)),0))</f>
        <v>0</v>
      </c>
      <c r="H9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41" t="n">
        <f aca="false">IF(N(AssignmentTable[[#This Row],[Task UID]])=0,0,IFERROR(MATCH(AssignmentTable[[#This Row],[Task UID]],tsk_UID,0),-1))</f>
        <v>0</v>
      </c>
      <c r="J97" s="41" t="n">
        <f aca="false">IF(AND(AssignmentTable[[#This Row],[_TaskPos]]&gt;0,AssignmentTable[[#This Row],[Resource]]&lt;&gt;"",AssignmentTable[[#This Row],[Check]]=""),1,0)</f>
        <v>0</v>
      </c>
      <c r="K97" s="41" t="str">
        <f aca="false">IF(AssignmentTable[[#This Row],[_Valid]]=1,AssignmentTable[[#This Row],[Task UID]]*1000+COUNTIFS(AssignmentTable[[#Headers],[Task UID]]:AssignmentTable[[#This Row],[Task UID]],AssignmentTable[[#This Row],[Task UID]],AssignmentTable[[#Headers],[_Valid]]:AssignmentTable[[#This Row],[_Valid]],1),"")</f>
        <v/>
      </c>
      <c r="L97" s="41" t="str">
        <f aca="false">IF(AssignmentTable[[#This Row],[_Valid]]=1,AssignmentTable[[#This Row],[Resource]]&amp;IF(OR(AssignmentTable[[#This Row],[Units]]="",AssignmentTable[[#This Row],[Units]]=1),"","["&amp;ROUND(AssignmentTable[[#This Row],[Units]]*100,0)&amp;"%]"),"")</f>
        <v/>
      </c>
      <c r="M97" s="41" t="n">
        <f aca="false">IF(AssignmentTable[[#This Row],[_Valid]]=1,N(INDEX(tsk_StartWD,AssignmentTable[[#This Row],[_TaskPos]])),0)</f>
        <v>0</v>
      </c>
      <c r="N97" s="41" t="n">
        <f aca="false">IF(AssignmentTable[[#This Row],[_Valid]]=1,N(INDEX(tsk_FinishWD,AssignmentTable[[#This Row],[_TaskPos]])),0)</f>
        <v>0</v>
      </c>
      <c r="O97" s="41" t="n">
        <f aca="false">IF(OR(AssignmentTable[[#This Row],[Work]]=0,AssignmentTable[[#This Row],[_FinishWD]]=0),0,AssignmentTable[[#This Row],[Work]]/(AssignmentTable[[#This Row],[_FinishWD]]-AssignmentTable[[#This Row],[_StartWD]]+1))</f>
        <v>0</v>
      </c>
      <c r="P97" s="41" t="n">
        <f aca="false">AssignmentTable[[#This Row],[_WorkPerWD]]*MAX(0,AssignmentTable[[#This Row],[_StartWD]]-1)</f>
        <v>0</v>
      </c>
      <c r="Q97" s="41" t="n">
        <f aca="false">IF(AssignmentTable[[#This Row],[_Valid]]=1,AssignmentTable[[#This Row],[Work]]*N(INDEX(tsk_LeafProgress,AssignmentTable[[#This Row],[_TaskPos]])),0)</f>
        <v>0</v>
      </c>
      <c r="R97" s="41" t="n">
        <f aca="false">IF(NOT(AssignmentTable[[#This Row],[_Valid]]=1),0,IF(N(INDEX(tsk_LeafTotalCost,AssignmentTable[[#This Row],[_TaskPos]]))=0,0,N(INDEX(tsk_LeafAC,AssignmentTable[[#This Row],[_TaskPos]]))*AssignmentTable[[#This Row],[Cost]]/INDEX(tsk_LeafTotalCost,AssignmentTable[[#This Row],[_TaskPos]])))</f>
        <v>0</v>
      </c>
      <c r="S97" s="41" t="n">
        <f aca="false">IF(NOT(AssignmentTable[[#This Row],[_Valid]]=1),0,IF(N(INDEX(tsk_LateKey,AssignmentTable[[#This Row],[_TaskPos]]))&gt;0,1,0))</f>
        <v>0</v>
      </c>
      <c r="T97" s="41" t="n">
        <f aca="false">IF(NOT(AssignmentTable[[#This Row],[_Valid]]=1),0,IF(INDEX(tsk_Critical,AssignmentTable[[#This Row],[_TaskPos]])="Yes",1,0))</f>
        <v>0</v>
      </c>
      <c r="U9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29"/>
      <c r="C98" s="24" t="str">
        <f aca="false">IF(AssignmentTable[[#This Row],[_TaskPos]]&lt;=0,"",INDEX(tsk_Name,AssignmentTable[[#This Row],[_TaskPos]])&amp;"")</f>
        <v/>
      </c>
      <c r="D98" s="30"/>
      <c r="E98" s="80"/>
      <c r="F98" s="96" t="n">
        <f aca="false">IF(AssignmentTable[[#This Row],[_Valid]]=1,N(INDEX(tsk_Duration,AssignmentTable[[#This Row],[_TaskPos]]))*HoursPerDay*IF(AssignmentTable[[#This Row],[Units]]="",DefaultUnits,AssignmentTable[[#This Row],[Units]]),0)</f>
        <v>0</v>
      </c>
      <c r="G98" s="97" t="n">
        <f aca="false">IF(AssignmentTable[[#This Row],[Work]]=0,0,AssignmentTable[[#This Row],[Work]]*IFERROR(INDEX(res_Rate,MATCH(AssignmentTable[[#This Row],[Resource]],res_Name,0)),0))</f>
        <v>0</v>
      </c>
      <c r="H9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41" t="n">
        <f aca="false">IF(N(AssignmentTable[[#This Row],[Task UID]])=0,0,IFERROR(MATCH(AssignmentTable[[#This Row],[Task UID]],tsk_UID,0),-1))</f>
        <v>0</v>
      </c>
      <c r="J98" s="41" t="n">
        <f aca="false">IF(AND(AssignmentTable[[#This Row],[_TaskPos]]&gt;0,AssignmentTable[[#This Row],[Resource]]&lt;&gt;"",AssignmentTable[[#This Row],[Check]]=""),1,0)</f>
        <v>0</v>
      </c>
      <c r="K98" s="41" t="str">
        <f aca="false">IF(AssignmentTable[[#This Row],[_Valid]]=1,AssignmentTable[[#This Row],[Task UID]]*1000+COUNTIFS(AssignmentTable[[#Headers],[Task UID]]:AssignmentTable[[#This Row],[Task UID]],AssignmentTable[[#This Row],[Task UID]],AssignmentTable[[#Headers],[_Valid]]:AssignmentTable[[#This Row],[_Valid]],1),"")</f>
        <v/>
      </c>
      <c r="L98" s="41" t="str">
        <f aca="false">IF(AssignmentTable[[#This Row],[_Valid]]=1,AssignmentTable[[#This Row],[Resource]]&amp;IF(OR(AssignmentTable[[#This Row],[Units]]="",AssignmentTable[[#This Row],[Units]]=1),"","["&amp;ROUND(AssignmentTable[[#This Row],[Units]]*100,0)&amp;"%]"),"")</f>
        <v/>
      </c>
      <c r="M98" s="41" t="n">
        <f aca="false">IF(AssignmentTable[[#This Row],[_Valid]]=1,N(INDEX(tsk_StartWD,AssignmentTable[[#This Row],[_TaskPos]])),0)</f>
        <v>0</v>
      </c>
      <c r="N98" s="41" t="n">
        <f aca="false">IF(AssignmentTable[[#This Row],[_Valid]]=1,N(INDEX(tsk_FinishWD,AssignmentTable[[#This Row],[_TaskPos]])),0)</f>
        <v>0</v>
      </c>
      <c r="O98" s="41" t="n">
        <f aca="false">IF(OR(AssignmentTable[[#This Row],[Work]]=0,AssignmentTable[[#This Row],[_FinishWD]]=0),0,AssignmentTable[[#This Row],[Work]]/(AssignmentTable[[#This Row],[_FinishWD]]-AssignmentTable[[#This Row],[_StartWD]]+1))</f>
        <v>0</v>
      </c>
      <c r="P98" s="41" t="n">
        <f aca="false">AssignmentTable[[#This Row],[_WorkPerWD]]*MAX(0,AssignmentTable[[#This Row],[_StartWD]]-1)</f>
        <v>0</v>
      </c>
      <c r="Q98" s="41" t="n">
        <f aca="false">IF(AssignmentTable[[#This Row],[_Valid]]=1,AssignmentTable[[#This Row],[Work]]*N(INDEX(tsk_LeafProgress,AssignmentTable[[#This Row],[_TaskPos]])),0)</f>
        <v>0</v>
      </c>
      <c r="R98" s="41" t="n">
        <f aca="false">IF(NOT(AssignmentTable[[#This Row],[_Valid]]=1),0,IF(N(INDEX(tsk_LeafTotalCost,AssignmentTable[[#This Row],[_TaskPos]]))=0,0,N(INDEX(tsk_LeafAC,AssignmentTable[[#This Row],[_TaskPos]]))*AssignmentTable[[#This Row],[Cost]]/INDEX(tsk_LeafTotalCost,AssignmentTable[[#This Row],[_TaskPos]])))</f>
        <v>0</v>
      </c>
      <c r="S98" s="41" t="n">
        <f aca="false">IF(NOT(AssignmentTable[[#This Row],[_Valid]]=1),0,IF(N(INDEX(tsk_LateKey,AssignmentTable[[#This Row],[_TaskPos]]))&gt;0,1,0))</f>
        <v>0</v>
      </c>
      <c r="T98" s="41" t="n">
        <f aca="false">IF(NOT(AssignmentTable[[#This Row],[_Valid]]=1),0,IF(INDEX(tsk_Critical,AssignmentTable[[#This Row],[_TaskPos]])="Yes",1,0))</f>
        <v>0</v>
      </c>
      <c r="U9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29"/>
      <c r="C99" s="24" t="str">
        <f aca="false">IF(AssignmentTable[[#This Row],[_TaskPos]]&lt;=0,"",INDEX(tsk_Name,AssignmentTable[[#This Row],[_TaskPos]])&amp;"")</f>
        <v/>
      </c>
      <c r="D99" s="30"/>
      <c r="E99" s="80"/>
      <c r="F99" s="96" t="n">
        <f aca="false">IF(AssignmentTable[[#This Row],[_Valid]]=1,N(INDEX(tsk_Duration,AssignmentTable[[#This Row],[_TaskPos]]))*HoursPerDay*IF(AssignmentTable[[#This Row],[Units]]="",DefaultUnits,AssignmentTable[[#This Row],[Units]]),0)</f>
        <v>0</v>
      </c>
      <c r="G99" s="97" t="n">
        <f aca="false">IF(AssignmentTable[[#This Row],[Work]]=0,0,AssignmentTable[[#This Row],[Work]]*IFERROR(INDEX(res_Rate,MATCH(AssignmentTable[[#This Row],[Resource]],res_Name,0)),0))</f>
        <v>0</v>
      </c>
      <c r="H9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41" t="n">
        <f aca="false">IF(N(AssignmentTable[[#This Row],[Task UID]])=0,0,IFERROR(MATCH(AssignmentTable[[#This Row],[Task UID]],tsk_UID,0),-1))</f>
        <v>0</v>
      </c>
      <c r="J99" s="41" t="n">
        <f aca="false">IF(AND(AssignmentTable[[#This Row],[_TaskPos]]&gt;0,AssignmentTable[[#This Row],[Resource]]&lt;&gt;"",AssignmentTable[[#This Row],[Check]]=""),1,0)</f>
        <v>0</v>
      </c>
      <c r="K99" s="41" t="str">
        <f aca="false">IF(AssignmentTable[[#This Row],[_Valid]]=1,AssignmentTable[[#This Row],[Task UID]]*1000+COUNTIFS(AssignmentTable[[#Headers],[Task UID]]:AssignmentTable[[#This Row],[Task UID]],AssignmentTable[[#This Row],[Task UID]],AssignmentTable[[#Headers],[_Valid]]:AssignmentTable[[#This Row],[_Valid]],1),"")</f>
        <v/>
      </c>
      <c r="L99" s="41" t="str">
        <f aca="false">IF(AssignmentTable[[#This Row],[_Valid]]=1,AssignmentTable[[#This Row],[Resource]]&amp;IF(OR(AssignmentTable[[#This Row],[Units]]="",AssignmentTable[[#This Row],[Units]]=1),"","["&amp;ROUND(AssignmentTable[[#This Row],[Units]]*100,0)&amp;"%]"),"")</f>
        <v/>
      </c>
      <c r="M99" s="41" t="n">
        <f aca="false">IF(AssignmentTable[[#This Row],[_Valid]]=1,N(INDEX(tsk_StartWD,AssignmentTable[[#This Row],[_TaskPos]])),0)</f>
        <v>0</v>
      </c>
      <c r="N99" s="41" t="n">
        <f aca="false">IF(AssignmentTable[[#This Row],[_Valid]]=1,N(INDEX(tsk_FinishWD,AssignmentTable[[#This Row],[_TaskPos]])),0)</f>
        <v>0</v>
      </c>
      <c r="O99" s="41" t="n">
        <f aca="false">IF(OR(AssignmentTable[[#This Row],[Work]]=0,AssignmentTable[[#This Row],[_FinishWD]]=0),0,AssignmentTable[[#This Row],[Work]]/(AssignmentTable[[#This Row],[_FinishWD]]-AssignmentTable[[#This Row],[_StartWD]]+1))</f>
        <v>0</v>
      </c>
      <c r="P99" s="41" t="n">
        <f aca="false">AssignmentTable[[#This Row],[_WorkPerWD]]*MAX(0,AssignmentTable[[#This Row],[_StartWD]]-1)</f>
        <v>0</v>
      </c>
      <c r="Q99" s="41" t="n">
        <f aca="false">IF(AssignmentTable[[#This Row],[_Valid]]=1,AssignmentTable[[#This Row],[Work]]*N(INDEX(tsk_LeafProgress,AssignmentTable[[#This Row],[_TaskPos]])),0)</f>
        <v>0</v>
      </c>
      <c r="R99" s="41" t="n">
        <f aca="false">IF(NOT(AssignmentTable[[#This Row],[_Valid]]=1),0,IF(N(INDEX(tsk_LeafTotalCost,AssignmentTable[[#This Row],[_TaskPos]]))=0,0,N(INDEX(tsk_LeafAC,AssignmentTable[[#This Row],[_TaskPos]]))*AssignmentTable[[#This Row],[Cost]]/INDEX(tsk_LeafTotalCost,AssignmentTable[[#This Row],[_TaskPos]])))</f>
        <v>0</v>
      </c>
      <c r="S99" s="41" t="n">
        <f aca="false">IF(NOT(AssignmentTable[[#This Row],[_Valid]]=1),0,IF(N(INDEX(tsk_LateKey,AssignmentTable[[#This Row],[_TaskPos]]))&gt;0,1,0))</f>
        <v>0</v>
      </c>
      <c r="T99" s="41" t="n">
        <f aca="false">IF(NOT(AssignmentTable[[#This Row],[_Valid]]=1),0,IF(INDEX(tsk_Critical,AssignmentTable[[#This Row],[_TaskPos]])="Yes",1,0))</f>
        <v>0</v>
      </c>
      <c r="U9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29"/>
      <c r="C100" s="24" t="str">
        <f aca="false">IF(AssignmentTable[[#This Row],[_TaskPos]]&lt;=0,"",INDEX(tsk_Name,AssignmentTable[[#This Row],[_TaskPos]])&amp;"")</f>
        <v/>
      </c>
      <c r="D100" s="30"/>
      <c r="E100" s="80"/>
      <c r="F100" s="96" t="n">
        <f aca="false">IF(AssignmentTable[[#This Row],[_Valid]]=1,N(INDEX(tsk_Duration,AssignmentTable[[#This Row],[_TaskPos]]))*HoursPerDay*IF(AssignmentTable[[#This Row],[Units]]="",DefaultUnits,AssignmentTable[[#This Row],[Units]]),0)</f>
        <v>0</v>
      </c>
      <c r="G100" s="97" t="n">
        <f aca="false">IF(AssignmentTable[[#This Row],[Work]]=0,0,AssignmentTable[[#This Row],[Work]]*IFERROR(INDEX(res_Rate,MATCH(AssignmentTable[[#This Row],[Resource]],res_Name,0)),0))</f>
        <v>0</v>
      </c>
      <c r="H10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41" t="n">
        <f aca="false">IF(N(AssignmentTable[[#This Row],[Task UID]])=0,0,IFERROR(MATCH(AssignmentTable[[#This Row],[Task UID]],tsk_UID,0),-1))</f>
        <v>0</v>
      </c>
      <c r="J100" s="41" t="n">
        <f aca="false">IF(AND(AssignmentTable[[#This Row],[_TaskPos]]&gt;0,AssignmentTable[[#This Row],[Resource]]&lt;&gt;"",AssignmentTable[[#This Row],[Check]]=""),1,0)</f>
        <v>0</v>
      </c>
      <c r="K100" s="41" t="str">
        <f aca="false">IF(AssignmentTable[[#This Row],[_Valid]]=1,AssignmentTable[[#This Row],[Task UID]]*1000+COUNTIFS(AssignmentTable[[#Headers],[Task UID]]:AssignmentTable[[#This Row],[Task UID]],AssignmentTable[[#This Row],[Task UID]],AssignmentTable[[#Headers],[_Valid]]:AssignmentTable[[#This Row],[_Valid]],1),"")</f>
        <v/>
      </c>
      <c r="L100" s="41" t="str">
        <f aca="false">IF(AssignmentTable[[#This Row],[_Valid]]=1,AssignmentTable[[#This Row],[Resource]]&amp;IF(OR(AssignmentTable[[#This Row],[Units]]="",AssignmentTable[[#This Row],[Units]]=1),"","["&amp;ROUND(AssignmentTable[[#This Row],[Units]]*100,0)&amp;"%]"),"")</f>
        <v/>
      </c>
      <c r="M100" s="41" t="n">
        <f aca="false">IF(AssignmentTable[[#This Row],[_Valid]]=1,N(INDEX(tsk_StartWD,AssignmentTable[[#This Row],[_TaskPos]])),0)</f>
        <v>0</v>
      </c>
      <c r="N100" s="41" t="n">
        <f aca="false">IF(AssignmentTable[[#This Row],[_Valid]]=1,N(INDEX(tsk_FinishWD,AssignmentTable[[#This Row],[_TaskPos]])),0)</f>
        <v>0</v>
      </c>
      <c r="O100" s="41" t="n">
        <f aca="false">IF(OR(AssignmentTable[[#This Row],[Work]]=0,AssignmentTable[[#This Row],[_FinishWD]]=0),0,AssignmentTable[[#This Row],[Work]]/(AssignmentTable[[#This Row],[_FinishWD]]-AssignmentTable[[#This Row],[_StartWD]]+1))</f>
        <v>0</v>
      </c>
      <c r="P100" s="41" t="n">
        <f aca="false">AssignmentTable[[#This Row],[_WorkPerWD]]*MAX(0,AssignmentTable[[#This Row],[_StartWD]]-1)</f>
        <v>0</v>
      </c>
      <c r="Q100" s="41" t="n">
        <f aca="false">IF(AssignmentTable[[#This Row],[_Valid]]=1,AssignmentTable[[#This Row],[Work]]*N(INDEX(tsk_LeafProgress,AssignmentTable[[#This Row],[_TaskPos]])),0)</f>
        <v>0</v>
      </c>
      <c r="R100" s="41" t="n">
        <f aca="false">IF(NOT(AssignmentTable[[#This Row],[_Valid]]=1),0,IF(N(INDEX(tsk_LeafTotalCost,AssignmentTable[[#This Row],[_TaskPos]]))=0,0,N(INDEX(tsk_LeafAC,AssignmentTable[[#This Row],[_TaskPos]]))*AssignmentTable[[#This Row],[Cost]]/INDEX(tsk_LeafTotalCost,AssignmentTable[[#This Row],[_TaskPos]])))</f>
        <v>0</v>
      </c>
      <c r="S100" s="41" t="n">
        <f aca="false">IF(NOT(AssignmentTable[[#This Row],[_Valid]]=1),0,IF(N(INDEX(tsk_LateKey,AssignmentTable[[#This Row],[_TaskPos]]))&gt;0,1,0))</f>
        <v>0</v>
      </c>
      <c r="T100" s="41" t="n">
        <f aca="false">IF(NOT(AssignmentTable[[#This Row],[_Valid]]=1),0,IF(INDEX(tsk_Critical,AssignmentTable[[#This Row],[_TaskPos]])="Yes",1,0))</f>
        <v>0</v>
      </c>
      <c r="U10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29"/>
      <c r="C101" s="24" t="str">
        <f aca="false">IF(AssignmentTable[[#This Row],[_TaskPos]]&lt;=0,"",INDEX(tsk_Name,AssignmentTable[[#This Row],[_TaskPos]])&amp;"")</f>
        <v/>
      </c>
      <c r="D101" s="30"/>
      <c r="E101" s="80"/>
      <c r="F101" s="96" t="n">
        <f aca="false">IF(AssignmentTable[[#This Row],[_Valid]]=1,N(INDEX(tsk_Duration,AssignmentTable[[#This Row],[_TaskPos]]))*HoursPerDay*IF(AssignmentTable[[#This Row],[Units]]="",DefaultUnits,AssignmentTable[[#This Row],[Units]]),0)</f>
        <v>0</v>
      </c>
      <c r="G101" s="97" t="n">
        <f aca="false">IF(AssignmentTable[[#This Row],[Work]]=0,0,AssignmentTable[[#This Row],[Work]]*IFERROR(INDEX(res_Rate,MATCH(AssignmentTable[[#This Row],[Resource]],res_Name,0)),0))</f>
        <v>0</v>
      </c>
      <c r="H10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41" t="n">
        <f aca="false">IF(N(AssignmentTable[[#This Row],[Task UID]])=0,0,IFERROR(MATCH(AssignmentTable[[#This Row],[Task UID]],tsk_UID,0),-1))</f>
        <v>0</v>
      </c>
      <c r="J101" s="41" t="n">
        <f aca="false">IF(AND(AssignmentTable[[#This Row],[_TaskPos]]&gt;0,AssignmentTable[[#This Row],[Resource]]&lt;&gt;"",AssignmentTable[[#This Row],[Check]]=""),1,0)</f>
        <v>0</v>
      </c>
      <c r="K101" s="41" t="str">
        <f aca="false">IF(AssignmentTable[[#This Row],[_Valid]]=1,AssignmentTable[[#This Row],[Task UID]]*1000+COUNTIFS(AssignmentTable[[#Headers],[Task UID]]:AssignmentTable[[#This Row],[Task UID]],AssignmentTable[[#This Row],[Task UID]],AssignmentTable[[#Headers],[_Valid]]:AssignmentTable[[#This Row],[_Valid]],1),"")</f>
        <v/>
      </c>
      <c r="L101" s="41" t="str">
        <f aca="false">IF(AssignmentTable[[#This Row],[_Valid]]=1,AssignmentTable[[#This Row],[Resource]]&amp;IF(OR(AssignmentTable[[#This Row],[Units]]="",AssignmentTable[[#This Row],[Units]]=1),"","["&amp;ROUND(AssignmentTable[[#This Row],[Units]]*100,0)&amp;"%]"),"")</f>
        <v/>
      </c>
      <c r="M101" s="41" t="n">
        <f aca="false">IF(AssignmentTable[[#This Row],[_Valid]]=1,N(INDEX(tsk_StartWD,AssignmentTable[[#This Row],[_TaskPos]])),0)</f>
        <v>0</v>
      </c>
      <c r="N101" s="41" t="n">
        <f aca="false">IF(AssignmentTable[[#This Row],[_Valid]]=1,N(INDEX(tsk_FinishWD,AssignmentTable[[#This Row],[_TaskPos]])),0)</f>
        <v>0</v>
      </c>
      <c r="O101" s="41" t="n">
        <f aca="false">IF(OR(AssignmentTable[[#This Row],[Work]]=0,AssignmentTable[[#This Row],[_FinishWD]]=0),0,AssignmentTable[[#This Row],[Work]]/(AssignmentTable[[#This Row],[_FinishWD]]-AssignmentTable[[#This Row],[_StartWD]]+1))</f>
        <v>0</v>
      </c>
      <c r="P101" s="41" t="n">
        <f aca="false">AssignmentTable[[#This Row],[_WorkPerWD]]*MAX(0,AssignmentTable[[#This Row],[_StartWD]]-1)</f>
        <v>0</v>
      </c>
      <c r="Q101" s="41" t="n">
        <f aca="false">IF(AssignmentTable[[#This Row],[_Valid]]=1,AssignmentTable[[#This Row],[Work]]*N(INDEX(tsk_LeafProgress,AssignmentTable[[#This Row],[_TaskPos]])),0)</f>
        <v>0</v>
      </c>
      <c r="R101" s="41" t="n">
        <f aca="false">IF(NOT(AssignmentTable[[#This Row],[_Valid]]=1),0,IF(N(INDEX(tsk_LeafTotalCost,AssignmentTable[[#This Row],[_TaskPos]]))=0,0,N(INDEX(tsk_LeafAC,AssignmentTable[[#This Row],[_TaskPos]]))*AssignmentTable[[#This Row],[Cost]]/INDEX(tsk_LeafTotalCost,AssignmentTable[[#This Row],[_TaskPos]])))</f>
        <v>0</v>
      </c>
      <c r="S101" s="41" t="n">
        <f aca="false">IF(NOT(AssignmentTable[[#This Row],[_Valid]]=1),0,IF(N(INDEX(tsk_LateKey,AssignmentTable[[#This Row],[_TaskPos]]))&gt;0,1,0))</f>
        <v>0</v>
      </c>
      <c r="T101" s="41" t="n">
        <f aca="false">IF(NOT(AssignmentTable[[#This Row],[_Valid]]=1),0,IF(INDEX(tsk_Critical,AssignmentTable[[#This Row],[_TaskPos]])="Yes",1,0))</f>
        <v>0</v>
      </c>
      <c r="U10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29"/>
      <c r="C102" s="24" t="str">
        <f aca="false">IF(AssignmentTable[[#This Row],[_TaskPos]]&lt;=0,"",INDEX(tsk_Name,AssignmentTable[[#This Row],[_TaskPos]])&amp;"")</f>
        <v/>
      </c>
      <c r="D102" s="30"/>
      <c r="E102" s="80"/>
      <c r="F102" s="96" t="n">
        <f aca="false">IF(AssignmentTable[[#This Row],[_Valid]]=1,N(INDEX(tsk_Duration,AssignmentTable[[#This Row],[_TaskPos]]))*HoursPerDay*IF(AssignmentTable[[#This Row],[Units]]="",DefaultUnits,AssignmentTable[[#This Row],[Units]]),0)</f>
        <v>0</v>
      </c>
      <c r="G102" s="97" t="n">
        <f aca="false">IF(AssignmentTable[[#This Row],[Work]]=0,0,AssignmentTable[[#This Row],[Work]]*IFERROR(INDEX(res_Rate,MATCH(AssignmentTable[[#This Row],[Resource]],res_Name,0)),0))</f>
        <v>0</v>
      </c>
      <c r="H10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41" t="n">
        <f aca="false">IF(N(AssignmentTable[[#This Row],[Task UID]])=0,0,IFERROR(MATCH(AssignmentTable[[#This Row],[Task UID]],tsk_UID,0),-1))</f>
        <v>0</v>
      </c>
      <c r="J102" s="41" t="n">
        <f aca="false">IF(AND(AssignmentTable[[#This Row],[_TaskPos]]&gt;0,AssignmentTable[[#This Row],[Resource]]&lt;&gt;"",AssignmentTable[[#This Row],[Check]]=""),1,0)</f>
        <v>0</v>
      </c>
      <c r="K102" s="41" t="str">
        <f aca="false">IF(AssignmentTable[[#This Row],[_Valid]]=1,AssignmentTable[[#This Row],[Task UID]]*1000+COUNTIFS(AssignmentTable[[#Headers],[Task UID]]:AssignmentTable[[#This Row],[Task UID]],AssignmentTable[[#This Row],[Task UID]],AssignmentTable[[#Headers],[_Valid]]:AssignmentTable[[#This Row],[_Valid]],1),"")</f>
        <v/>
      </c>
      <c r="L102" s="41" t="str">
        <f aca="false">IF(AssignmentTable[[#This Row],[_Valid]]=1,AssignmentTable[[#This Row],[Resource]]&amp;IF(OR(AssignmentTable[[#This Row],[Units]]="",AssignmentTable[[#This Row],[Units]]=1),"","["&amp;ROUND(AssignmentTable[[#This Row],[Units]]*100,0)&amp;"%]"),"")</f>
        <v/>
      </c>
      <c r="M102" s="41" t="n">
        <f aca="false">IF(AssignmentTable[[#This Row],[_Valid]]=1,N(INDEX(tsk_StartWD,AssignmentTable[[#This Row],[_TaskPos]])),0)</f>
        <v>0</v>
      </c>
      <c r="N102" s="41" t="n">
        <f aca="false">IF(AssignmentTable[[#This Row],[_Valid]]=1,N(INDEX(tsk_FinishWD,AssignmentTable[[#This Row],[_TaskPos]])),0)</f>
        <v>0</v>
      </c>
      <c r="O102" s="41" t="n">
        <f aca="false">IF(OR(AssignmentTable[[#This Row],[Work]]=0,AssignmentTable[[#This Row],[_FinishWD]]=0),0,AssignmentTable[[#This Row],[Work]]/(AssignmentTable[[#This Row],[_FinishWD]]-AssignmentTable[[#This Row],[_StartWD]]+1))</f>
        <v>0</v>
      </c>
      <c r="P102" s="41" t="n">
        <f aca="false">AssignmentTable[[#This Row],[_WorkPerWD]]*MAX(0,AssignmentTable[[#This Row],[_StartWD]]-1)</f>
        <v>0</v>
      </c>
      <c r="Q102" s="41" t="n">
        <f aca="false">IF(AssignmentTable[[#This Row],[_Valid]]=1,AssignmentTable[[#This Row],[Work]]*N(INDEX(tsk_LeafProgress,AssignmentTable[[#This Row],[_TaskPos]])),0)</f>
        <v>0</v>
      </c>
      <c r="R102" s="41" t="n">
        <f aca="false">IF(NOT(AssignmentTable[[#This Row],[_Valid]]=1),0,IF(N(INDEX(tsk_LeafTotalCost,AssignmentTable[[#This Row],[_TaskPos]]))=0,0,N(INDEX(tsk_LeafAC,AssignmentTable[[#This Row],[_TaskPos]]))*AssignmentTable[[#This Row],[Cost]]/INDEX(tsk_LeafTotalCost,AssignmentTable[[#This Row],[_TaskPos]])))</f>
        <v>0</v>
      </c>
      <c r="S102" s="41" t="n">
        <f aca="false">IF(NOT(AssignmentTable[[#This Row],[_Valid]]=1),0,IF(N(INDEX(tsk_LateKey,AssignmentTable[[#This Row],[_TaskPos]]))&gt;0,1,0))</f>
        <v>0</v>
      </c>
      <c r="T102" s="41" t="n">
        <f aca="false">IF(NOT(AssignmentTable[[#This Row],[_Valid]]=1),0,IF(INDEX(tsk_Critical,AssignmentTable[[#This Row],[_TaskPos]])="Yes",1,0))</f>
        <v>0</v>
      </c>
      <c r="U10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29"/>
      <c r="C103" s="24" t="str">
        <f aca="false">IF(AssignmentTable[[#This Row],[_TaskPos]]&lt;=0,"",INDEX(tsk_Name,AssignmentTable[[#This Row],[_TaskPos]])&amp;"")</f>
        <v/>
      </c>
      <c r="D103" s="30"/>
      <c r="E103" s="80"/>
      <c r="F103" s="96" t="n">
        <f aca="false">IF(AssignmentTable[[#This Row],[_Valid]]=1,N(INDEX(tsk_Duration,AssignmentTable[[#This Row],[_TaskPos]]))*HoursPerDay*IF(AssignmentTable[[#This Row],[Units]]="",DefaultUnits,AssignmentTable[[#This Row],[Units]]),0)</f>
        <v>0</v>
      </c>
      <c r="G103" s="97" t="n">
        <f aca="false">IF(AssignmentTable[[#This Row],[Work]]=0,0,AssignmentTable[[#This Row],[Work]]*IFERROR(INDEX(res_Rate,MATCH(AssignmentTable[[#This Row],[Resource]],res_Name,0)),0))</f>
        <v>0</v>
      </c>
      <c r="H10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41" t="n">
        <f aca="false">IF(N(AssignmentTable[[#This Row],[Task UID]])=0,0,IFERROR(MATCH(AssignmentTable[[#This Row],[Task UID]],tsk_UID,0),-1))</f>
        <v>0</v>
      </c>
      <c r="J103" s="41" t="n">
        <f aca="false">IF(AND(AssignmentTable[[#This Row],[_TaskPos]]&gt;0,AssignmentTable[[#This Row],[Resource]]&lt;&gt;"",AssignmentTable[[#This Row],[Check]]=""),1,0)</f>
        <v>0</v>
      </c>
      <c r="K103" s="41" t="str">
        <f aca="false">IF(AssignmentTable[[#This Row],[_Valid]]=1,AssignmentTable[[#This Row],[Task UID]]*1000+COUNTIFS(AssignmentTable[[#Headers],[Task UID]]:AssignmentTable[[#This Row],[Task UID]],AssignmentTable[[#This Row],[Task UID]],AssignmentTable[[#Headers],[_Valid]]:AssignmentTable[[#This Row],[_Valid]],1),"")</f>
        <v/>
      </c>
      <c r="L103" s="41" t="str">
        <f aca="false">IF(AssignmentTable[[#This Row],[_Valid]]=1,AssignmentTable[[#This Row],[Resource]]&amp;IF(OR(AssignmentTable[[#This Row],[Units]]="",AssignmentTable[[#This Row],[Units]]=1),"","["&amp;ROUND(AssignmentTable[[#This Row],[Units]]*100,0)&amp;"%]"),"")</f>
        <v/>
      </c>
      <c r="M103" s="41" t="n">
        <f aca="false">IF(AssignmentTable[[#This Row],[_Valid]]=1,N(INDEX(tsk_StartWD,AssignmentTable[[#This Row],[_TaskPos]])),0)</f>
        <v>0</v>
      </c>
      <c r="N103" s="41" t="n">
        <f aca="false">IF(AssignmentTable[[#This Row],[_Valid]]=1,N(INDEX(tsk_FinishWD,AssignmentTable[[#This Row],[_TaskPos]])),0)</f>
        <v>0</v>
      </c>
      <c r="O103" s="41" t="n">
        <f aca="false">IF(OR(AssignmentTable[[#This Row],[Work]]=0,AssignmentTable[[#This Row],[_FinishWD]]=0),0,AssignmentTable[[#This Row],[Work]]/(AssignmentTable[[#This Row],[_FinishWD]]-AssignmentTable[[#This Row],[_StartWD]]+1))</f>
        <v>0</v>
      </c>
      <c r="P103" s="41" t="n">
        <f aca="false">AssignmentTable[[#This Row],[_WorkPerWD]]*MAX(0,AssignmentTable[[#This Row],[_StartWD]]-1)</f>
        <v>0</v>
      </c>
      <c r="Q103" s="41" t="n">
        <f aca="false">IF(AssignmentTable[[#This Row],[_Valid]]=1,AssignmentTable[[#This Row],[Work]]*N(INDEX(tsk_LeafProgress,AssignmentTable[[#This Row],[_TaskPos]])),0)</f>
        <v>0</v>
      </c>
      <c r="R103" s="41" t="n">
        <f aca="false">IF(NOT(AssignmentTable[[#This Row],[_Valid]]=1),0,IF(N(INDEX(tsk_LeafTotalCost,AssignmentTable[[#This Row],[_TaskPos]]))=0,0,N(INDEX(tsk_LeafAC,AssignmentTable[[#This Row],[_TaskPos]]))*AssignmentTable[[#This Row],[Cost]]/INDEX(tsk_LeafTotalCost,AssignmentTable[[#This Row],[_TaskPos]])))</f>
        <v>0</v>
      </c>
      <c r="S103" s="41" t="n">
        <f aca="false">IF(NOT(AssignmentTable[[#This Row],[_Valid]]=1),0,IF(N(INDEX(tsk_LateKey,AssignmentTable[[#This Row],[_TaskPos]]))&gt;0,1,0))</f>
        <v>0</v>
      </c>
      <c r="T103" s="41" t="n">
        <f aca="false">IF(NOT(AssignmentTable[[#This Row],[_Valid]]=1),0,IF(INDEX(tsk_Critical,AssignmentTable[[#This Row],[_TaskPos]])="Yes",1,0))</f>
        <v>0</v>
      </c>
      <c r="U10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29"/>
      <c r="C104" s="24" t="str">
        <f aca="false">IF(AssignmentTable[[#This Row],[_TaskPos]]&lt;=0,"",INDEX(tsk_Name,AssignmentTable[[#This Row],[_TaskPos]])&amp;"")</f>
        <v/>
      </c>
      <c r="D104" s="30"/>
      <c r="E104" s="80"/>
      <c r="F104" s="96" t="n">
        <f aca="false">IF(AssignmentTable[[#This Row],[_Valid]]=1,N(INDEX(tsk_Duration,AssignmentTable[[#This Row],[_TaskPos]]))*HoursPerDay*IF(AssignmentTable[[#This Row],[Units]]="",DefaultUnits,AssignmentTable[[#This Row],[Units]]),0)</f>
        <v>0</v>
      </c>
      <c r="G104" s="97" t="n">
        <f aca="false">IF(AssignmentTable[[#This Row],[Work]]=0,0,AssignmentTable[[#This Row],[Work]]*IFERROR(INDEX(res_Rate,MATCH(AssignmentTable[[#This Row],[Resource]],res_Name,0)),0))</f>
        <v>0</v>
      </c>
      <c r="H10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41" t="n">
        <f aca="false">IF(N(AssignmentTable[[#This Row],[Task UID]])=0,0,IFERROR(MATCH(AssignmentTable[[#This Row],[Task UID]],tsk_UID,0),-1))</f>
        <v>0</v>
      </c>
      <c r="J104" s="41" t="n">
        <f aca="false">IF(AND(AssignmentTable[[#This Row],[_TaskPos]]&gt;0,AssignmentTable[[#This Row],[Resource]]&lt;&gt;"",AssignmentTable[[#This Row],[Check]]=""),1,0)</f>
        <v>0</v>
      </c>
      <c r="K104" s="41" t="str">
        <f aca="false">IF(AssignmentTable[[#This Row],[_Valid]]=1,AssignmentTable[[#This Row],[Task UID]]*1000+COUNTIFS(AssignmentTable[[#Headers],[Task UID]]:AssignmentTable[[#This Row],[Task UID]],AssignmentTable[[#This Row],[Task UID]],AssignmentTable[[#Headers],[_Valid]]:AssignmentTable[[#This Row],[_Valid]],1),"")</f>
        <v/>
      </c>
      <c r="L104" s="41" t="str">
        <f aca="false">IF(AssignmentTable[[#This Row],[_Valid]]=1,AssignmentTable[[#This Row],[Resource]]&amp;IF(OR(AssignmentTable[[#This Row],[Units]]="",AssignmentTable[[#This Row],[Units]]=1),"","["&amp;ROUND(AssignmentTable[[#This Row],[Units]]*100,0)&amp;"%]"),"")</f>
        <v/>
      </c>
      <c r="M104" s="41" t="n">
        <f aca="false">IF(AssignmentTable[[#This Row],[_Valid]]=1,N(INDEX(tsk_StartWD,AssignmentTable[[#This Row],[_TaskPos]])),0)</f>
        <v>0</v>
      </c>
      <c r="N104" s="41" t="n">
        <f aca="false">IF(AssignmentTable[[#This Row],[_Valid]]=1,N(INDEX(tsk_FinishWD,AssignmentTable[[#This Row],[_TaskPos]])),0)</f>
        <v>0</v>
      </c>
      <c r="O104" s="41" t="n">
        <f aca="false">IF(OR(AssignmentTable[[#This Row],[Work]]=0,AssignmentTable[[#This Row],[_FinishWD]]=0),0,AssignmentTable[[#This Row],[Work]]/(AssignmentTable[[#This Row],[_FinishWD]]-AssignmentTable[[#This Row],[_StartWD]]+1))</f>
        <v>0</v>
      </c>
      <c r="P104" s="41" t="n">
        <f aca="false">AssignmentTable[[#This Row],[_WorkPerWD]]*MAX(0,AssignmentTable[[#This Row],[_StartWD]]-1)</f>
        <v>0</v>
      </c>
      <c r="Q104" s="41" t="n">
        <f aca="false">IF(AssignmentTable[[#This Row],[_Valid]]=1,AssignmentTable[[#This Row],[Work]]*N(INDEX(tsk_LeafProgress,AssignmentTable[[#This Row],[_TaskPos]])),0)</f>
        <v>0</v>
      </c>
      <c r="R104" s="41" t="n">
        <f aca="false">IF(NOT(AssignmentTable[[#This Row],[_Valid]]=1),0,IF(N(INDEX(tsk_LeafTotalCost,AssignmentTable[[#This Row],[_TaskPos]]))=0,0,N(INDEX(tsk_LeafAC,AssignmentTable[[#This Row],[_TaskPos]]))*AssignmentTable[[#This Row],[Cost]]/INDEX(tsk_LeafTotalCost,AssignmentTable[[#This Row],[_TaskPos]])))</f>
        <v>0</v>
      </c>
      <c r="S104" s="41" t="n">
        <f aca="false">IF(NOT(AssignmentTable[[#This Row],[_Valid]]=1),0,IF(N(INDEX(tsk_LateKey,AssignmentTable[[#This Row],[_TaskPos]]))&gt;0,1,0))</f>
        <v>0</v>
      </c>
      <c r="T104" s="41" t="n">
        <f aca="false">IF(NOT(AssignmentTable[[#This Row],[_Valid]]=1),0,IF(INDEX(tsk_Critical,AssignmentTable[[#This Row],[_TaskPos]])="Yes",1,0))</f>
        <v>0</v>
      </c>
      <c r="U10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29"/>
      <c r="C105" s="24" t="str">
        <f aca="false">IF(AssignmentTable[[#This Row],[_TaskPos]]&lt;=0,"",INDEX(tsk_Name,AssignmentTable[[#This Row],[_TaskPos]])&amp;"")</f>
        <v/>
      </c>
      <c r="D105" s="30"/>
      <c r="E105" s="80"/>
      <c r="F105" s="96" t="n">
        <f aca="false">IF(AssignmentTable[[#This Row],[_Valid]]=1,N(INDEX(tsk_Duration,AssignmentTable[[#This Row],[_TaskPos]]))*HoursPerDay*IF(AssignmentTable[[#This Row],[Units]]="",DefaultUnits,AssignmentTable[[#This Row],[Units]]),0)</f>
        <v>0</v>
      </c>
      <c r="G105" s="97" t="n">
        <f aca="false">IF(AssignmentTable[[#This Row],[Work]]=0,0,AssignmentTable[[#This Row],[Work]]*IFERROR(INDEX(res_Rate,MATCH(AssignmentTable[[#This Row],[Resource]],res_Name,0)),0))</f>
        <v>0</v>
      </c>
      <c r="H10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41" t="n">
        <f aca="false">IF(N(AssignmentTable[[#This Row],[Task UID]])=0,0,IFERROR(MATCH(AssignmentTable[[#This Row],[Task UID]],tsk_UID,0),-1))</f>
        <v>0</v>
      </c>
      <c r="J105" s="41" t="n">
        <f aca="false">IF(AND(AssignmentTable[[#This Row],[_TaskPos]]&gt;0,AssignmentTable[[#This Row],[Resource]]&lt;&gt;"",AssignmentTable[[#This Row],[Check]]=""),1,0)</f>
        <v>0</v>
      </c>
      <c r="K105" s="41" t="str">
        <f aca="false">IF(AssignmentTable[[#This Row],[_Valid]]=1,AssignmentTable[[#This Row],[Task UID]]*1000+COUNTIFS(AssignmentTable[[#Headers],[Task UID]]:AssignmentTable[[#This Row],[Task UID]],AssignmentTable[[#This Row],[Task UID]],AssignmentTable[[#Headers],[_Valid]]:AssignmentTable[[#This Row],[_Valid]],1),"")</f>
        <v/>
      </c>
      <c r="L105" s="41" t="str">
        <f aca="false">IF(AssignmentTable[[#This Row],[_Valid]]=1,AssignmentTable[[#This Row],[Resource]]&amp;IF(OR(AssignmentTable[[#This Row],[Units]]="",AssignmentTable[[#This Row],[Units]]=1),"","["&amp;ROUND(AssignmentTable[[#This Row],[Units]]*100,0)&amp;"%]"),"")</f>
        <v/>
      </c>
      <c r="M105" s="41" t="n">
        <f aca="false">IF(AssignmentTable[[#This Row],[_Valid]]=1,N(INDEX(tsk_StartWD,AssignmentTable[[#This Row],[_TaskPos]])),0)</f>
        <v>0</v>
      </c>
      <c r="N105" s="41" t="n">
        <f aca="false">IF(AssignmentTable[[#This Row],[_Valid]]=1,N(INDEX(tsk_FinishWD,AssignmentTable[[#This Row],[_TaskPos]])),0)</f>
        <v>0</v>
      </c>
      <c r="O105" s="41" t="n">
        <f aca="false">IF(OR(AssignmentTable[[#This Row],[Work]]=0,AssignmentTable[[#This Row],[_FinishWD]]=0),0,AssignmentTable[[#This Row],[Work]]/(AssignmentTable[[#This Row],[_FinishWD]]-AssignmentTable[[#This Row],[_StartWD]]+1))</f>
        <v>0</v>
      </c>
      <c r="P105" s="41" t="n">
        <f aca="false">AssignmentTable[[#This Row],[_WorkPerWD]]*MAX(0,AssignmentTable[[#This Row],[_StartWD]]-1)</f>
        <v>0</v>
      </c>
      <c r="Q105" s="41" t="n">
        <f aca="false">IF(AssignmentTable[[#This Row],[_Valid]]=1,AssignmentTable[[#This Row],[Work]]*N(INDEX(tsk_LeafProgress,AssignmentTable[[#This Row],[_TaskPos]])),0)</f>
        <v>0</v>
      </c>
      <c r="R105" s="41" t="n">
        <f aca="false">IF(NOT(AssignmentTable[[#This Row],[_Valid]]=1),0,IF(N(INDEX(tsk_LeafTotalCost,AssignmentTable[[#This Row],[_TaskPos]]))=0,0,N(INDEX(tsk_LeafAC,AssignmentTable[[#This Row],[_TaskPos]]))*AssignmentTable[[#This Row],[Cost]]/INDEX(tsk_LeafTotalCost,AssignmentTable[[#This Row],[_TaskPos]])))</f>
        <v>0</v>
      </c>
      <c r="S105" s="41" t="n">
        <f aca="false">IF(NOT(AssignmentTable[[#This Row],[_Valid]]=1),0,IF(N(INDEX(tsk_LateKey,AssignmentTable[[#This Row],[_TaskPos]]))&gt;0,1,0))</f>
        <v>0</v>
      </c>
      <c r="T105" s="41" t="n">
        <f aca="false">IF(NOT(AssignmentTable[[#This Row],[_Valid]]=1),0,IF(INDEX(tsk_Critical,AssignmentTable[[#This Row],[_TaskPos]])="Yes",1,0))</f>
        <v>0</v>
      </c>
      <c r="U10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35">
      <formula>$H6&lt;&gt;""</formula>
    </cfRule>
  </conditionalFormatting>
  <conditionalFormatting sqref="D6:D105">
    <cfRule type="expression" priority="3" aboveAverage="0" equalAverage="0" bottom="0" percent="0" rank="0" text="" dxfId="15">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614</v>
      </c>
    </row>
    <row r="5" customFormat="false" ht="23.85" hidden="false" customHeight="false" outlineLevel="0" collapsed="false">
      <c r="A5" s="9" t="s">
        <v>360</v>
      </c>
      <c r="B5" s="9" t="s">
        <v>479</v>
      </c>
      <c r="C5" s="9" t="s">
        <v>615</v>
      </c>
      <c r="D5" s="9" t="s">
        <v>616</v>
      </c>
      <c r="E5" s="9" t="s">
        <v>617</v>
      </c>
      <c r="F5" s="27" t="s">
        <v>618</v>
      </c>
      <c r="G5" s="9" t="s">
        <v>619</v>
      </c>
      <c r="H5" s="9" t="s">
        <v>620</v>
      </c>
      <c r="I5" s="9" t="s">
        <v>63</v>
      </c>
      <c r="J5" s="9" t="s">
        <v>621</v>
      </c>
      <c r="K5" s="9" t="s">
        <v>97</v>
      </c>
      <c r="L5" s="27" t="s">
        <v>622</v>
      </c>
      <c r="M5" s="9" t="s">
        <v>623</v>
      </c>
      <c r="N5" s="9" t="s">
        <v>624</v>
      </c>
      <c r="O5" s="9" t="s">
        <v>625</v>
      </c>
      <c r="P5" s="9" t="s">
        <v>626</v>
      </c>
      <c r="Q5" s="9" t="s">
        <v>627</v>
      </c>
      <c r="R5" s="9" t="s">
        <v>628</v>
      </c>
      <c r="S5" s="40" t="s">
        <v>270</v>
      </c>
      <c r="T5" s="40" t="s">
        <v>629</v>
      </c>
      <c r="U5" s="40" t="s">
        <v>630</v>
      </c>
      <c r="V5" s="40" t="s">
        <v>631</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95"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3"/>
      <c r="M6" s="54" t="n">
        <f aca="false">IF(SprintTable[[#This Row],[Sprint]]="","",SUMIFS(tsk_LeafPoints,tsk_Sprint,SprintTable[[#This Row],[Sprint]]))</f>
        <v>0</v>
      </c>
      <c r="N6" s="54" t="n">
        <f aca="false">IF(OR(SprintTable[[#This Row],[Sprint]]="",SprintTable[[#This Row],[Status]]="Future"),"",SUMIFS(tsk_LeafPoints,tsk_DoneDate,"&gt;="&amp;SprintTable[[#This Row],[Start]],tsk_DoneDate,"&lt;="&amp;SprintTable[[#This Row],[End]]))</f>
        <v>0</v>
      </c>
      <c r="O6" s="124" t="str">
        <f aca="false">IF(OR(SprintTable[[#This Row],[Sprint]]="",SprintTable[[#This Row],[Status]]&lt;&gt;"Closed"),"",AVERAGE(INDEX(SprintTable[Done Points],MAX(1,SprintTable[[#This Row],[No]]-2)):INDEX(SprintTable[Done Points],SprintTable[[#This Row],[No]])))</f>
        <v/>
      </c>
      <c r="P6" s="54" t="n">
        <f aca="false">IF(OR(SprintTable[[#This Row],[Sprint]]="",SprintTable[[#This Row],[Status]]="Future"),"",TotalPoints-SUMIFS(tsk_LeafPoints,tsk_DoneDate,"&lt;="&amp;MIN(SprintTable[[#This Row],[End]],StatusDate)))</f>
        <v>0</v>
      </c>
      <c r="Q6" s="54" t="n">
        <f aca="false">IF(SprintTable[[#This Row],[Sprint]]="","",TotalPoints-SUMIFS(tsk_LeafPoints,tsk_FcFinish,"&lt;="&amp;SprintTable[[#This Row],[End]]))</f>
        <v>0</v>
      </c>
      <c r="R6" s="54" t="n">
        <f aca="false">IF(SprintTable[[#This Row],[Sprint]]="","",TotalPoints*MAX(0,1-SprintTable[[#This Row],[No]]/SprintCount))</f>
        <v>0</v>
      </c>
      <c r="S6" s="74" t="n">
        <f aca="false">IF(SprintTable[[#This Row],[Remaining Points]]="",NA(),SprintTable[[#This Row],[Remaining Points]])</f>
        <v>0</v>
      </c>
      <c r="T6" s="41" t="n">
        <f aca="false">IFERROR(MATCH(MID("JanFebMarAprMayJunJulAugSepOctNovDec",MONTH(DATE(YEAR(SprintTable[[#This Row],[Start]]),MONTH(SprintTable[[#This Row],[Start]])+0,1))*3-2,3)&amp;"-"&amp;RIGHT(YEAR(DATE(YEAR(SprintTable[[#This Row],[Start]]),MONTH(SprintTable[[#This Row],[Start]])+0,1)),2),LeaveTable[#Headers],0),0)</f>
        <v>0</v>
      </c>
      <c r="U6" s="41" t="n">
        <f aca="false">IFERROR(MATCH(MID("JanFebMarAprMayJunJulAugSepOctNovDec",MONTH(DATE(YEAR(SprintTable[[#This Row],[Start]]),MONTH(SprintTable[[#This Row],[Start]])+1,1))*3-2,3)&amp;"-"&amp;RIGHT(YEAR(DATE(YEAR(SprintTable[[#This Row],[Start]]),MONTH(SprintTable[[#This Row],[Start]])+1,1)),2),LeaveTable[#Headers],0),0)</f>
        <v>0</v>
      </c>
      <c r="V6" s="41"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95"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3"/>
      <c r="M7" s="54" t="n">
        <f aca="false">IF(SprintTable[[#This Row],[Sprint]]="","",SUMIFS(tsk_LeafPoints,tsk_Sprint,SprintTable[[#This Row],[Sprint]]))</f>
        <v>0</v>
      </c>
      <c r="N7" s="54" t="str">
        <f aca="false">IF(OR(SprintTable[[#This Row],[Sprint]]="",SprintTable[[#This Row],[Status]]="Future"),"",SUMIFS(tsk_LeafPoints,tsk_DoneDate,"&gt;="&amp;SprintTable[[#This Row],[Start]],tsk_DoneDate,"&lt;="&amp;SprintTable[[#This Row],[End]]))</f>
        <v/>
      </c>
      <c r="O7" s="124" t="str">
        <f aca="false">IF(OR(SprintTable[[#This Row],[Sprint]]="",SprintTable[[#This Row],[Status]]&lt;&gt;"Closed"),"",AVERAGE(INDEX(SprintTable[Done Points],MAX(1,SprintTable[[#This Row],[No]]-2)):INDEX(SprintTable[Done Points],SprintTable[[#This Row],[No]])))</f>
        <v/>
      </c>
      <c r="P7" s="54" t="str">
        <f aca="false">IF(OR(SprintTable[[#This Row],[Sprint]]="",SprintTable[[#This Row],[Status]]="Future"),"",TotalPoints-SUMIFS(tsk_LeafPoints,tsk_DoneDate,"&lt;="&amp;MIN(SprintTable[[#This Row],[End]],StatusDate)))</f>
        <v/>
      </c>
      <c r="Q7" s="54" t="n">
        <f aca="false">IF(SprintTable[[#This Row],[Sprint]]="","",TotalPoints-SUMIFS(tsk_LeafPoints,tsk_FcFinish,"&lt;="&amp;SprintTable[[#This Row],[End]]))</f>
        <v>0</v>
      </c>
      <c r="R7" s="54" t="n">
        <f aca="false">IF(SprintTable[[#This Row],[Sprint]]="","",TotalPoints*MAX(0,1-SprintTable[[#This Row],[No]]/SprintCount))</f>
        <v>0</v>
      </c>
      <c r="S7" s="41" t="e">
        <f aca="false">IF(SprintTable[[#This Row],[Remaining Points]]="",NA(),SprintTable[[#This Row],[Remaining Points]])</f>
        <v>#N/A</v>
      </c>
      <c r="T7" s="41" t="n">
        <f aca="false">IFERROR(MATCH(MID("JanFebMarAprMayJunJulAugSepOctNovDec",MONTH(DATE(YEAR(SprintTable[[#This Row],[Start]]),MONTH(SprintTable[[#This Row],[Start]])+0,1))*3-2,3)&amp;"-"&amp;RIGHT(YEAR(DATE(YEAR(SprintTable[[#This Row],[Start]]),MONTH(SprintTable[[#This Row],[Start]])+0,1)),2),LeaveTable[#Headers],0),0)</f>
        <v>0</v>
      </c>
      <c r="U7" s="41" t="n">
        <f aca="false">IFERROR(MATCH(MID("JanFebMarAprMayJunJulAugSepOctNovDec",MONTH(DATE(YEAR(SprintTable[[#This Row],[Start]]),MONTH(SprintTable[[#This Row],[Start]])+1,1))*3-2,3)&amp;"-"&amp;RIGHT(YEAR(DATE(YEAR(SprintTable[[#This Row],[Start]]),MONTH(SprintTable[[#This Row],[Start]])+1,1)),2),LeaveTable[#Headers],0),0)</f>
        <v>0</v>
      </c>
      <c r="V7" s="41"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8"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95"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3"/>
      <c r="M8" s="54" t="n">
        <f aca="false">IF(SprintTable[[#This Row],[Sprint]]="","",SUMIFS(tsk_LeafPoints,tsk_Sprint,SprintTable[[#This Row],[Sprint]]))</f>
        <v>0</v>
      </c>
      <c r="N8" s="54" t="str">
        <f aca="false">IF(OR(SprintTable[[#This Row],[Sprint]]="",SprintTable[[#This Row],[Status]]="Future"),"",SUMIFS(tsk_LeafPoints,tsk_DoneDate,"&gt;="&amp;SprintTable[[#This Row],[Start]],tsk_DoneDate,"&lt;="&amp;SprintTable[[#This Row],[End]]))</f>
        <v/>
      </c>
      <c r="O8" s="124" t="str">
        <f aca="false">IF(OR(SprintTable[[#This Row],[Sprint]]="",SprintTable[[#This Row],[Status]]&lt;&gt;"Closed"),"",AVERAGE(INDEX(SprintTable[Done Points],MAX(1,SprintTable[[#This Row],[No]]-2)):INDEX(SprintTable[Done Points],SprintTable[[#This Row],[No]])))</f>
        <v/>
      </c>
      <c r="P8" s="54" t="str">
        <f aca="false">IF(OR(SprintTable[[#This Row],[Sprint]]="",SprintTable[[#This Row],[Status]]="Future"),"",TotalPoints-SUMIFS(tsk_LeafPoints,tsk_DoneDate,"&lt;="&amp;MIN(SprintTable[[#This Row],[End]],StatusDate)))</f>
        <v/>
      </c>
      <c r="Q8" s="54" t="n">
        <f aca="false">IF(SprintTable[[#This Row],[Sprint]]="","",TotalPoints-SUMIFS(tsk_LeafPoints,tsk_FcFinish,"&lt;="&amp;SprintTable[[#This Row],[End]]))</f>
        <v>0</v>
      </c>
      <c r="R8" s="54" t="n">
        <f aca="false">IF(SprintTable[[#This Row],[Sprint]]="","",TotalPoints*MAX(0,1-SprintTable[[#This Row],[No]]/SprintCount))</f>
        <v>0</v>
      </c>
      <c r="S8" s="41" t="e">
        <f aca="false">IF(SprintTable[[#This Row],[Remaining Points]]="",NA(),SprintTable[[#This Row],[Remaining Points]])</f>
        <v>#N/A</v>
      </c>
      <c r="T8" s="41" t="n">
        <f aca="false">IFERROR(MATCH(MID("JanFebMarAprMayJunJulAugSepOctNovDec",MONTH(DATE(YEAR(SprintTable[[#This Row],[Start]]),MONTH(SprintTable[[#This Row],[Start]])+0,1))*3-2,3)&amp;"-"&amp;RIGHT(YEAR(DATE(YEAR(SprintTable[[#This Row],[Start]]),MONTH(SprintTable[[#This Row],[Start]])+0,1)),2),LeaveTable[#Headers],0),0)</f>
        <v>0</v>
      </c>
      <c r="U8" s="41" t="n">
        <f aca="false">IFERROR(MATCH(MID("JanFebMarAprMayJunJulAugSepOctNovDec",MONTH(DATE(YEAR(SprintTable[[#This Row],[Start]]),MONTH(SprintTable[[#This Row],[Start]])+1,1))*3-2,3)&amp;"-"&amp;RIGHT(YEAR(DATE(YEAR(SprintTable[[#This Row],[Start]]),MONTH(SprintTable[[#This Row],[Start]])+1,1)),2),LeaveTable[#Headers],0),0)</f>
        <v>0</v>
      </c>
      <c r="V8" s="41"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9"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95"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3"/>
      <c r="M9" s="54" t="n">
        <f aca="false">IF(SprintTable[[#This Row],[Sprint]]="","",SUMIFS(tsk_LeafPoints,tsk_Sprint,SprintTable[[#This Row],[Sprint]]))</f>
        <v>0</v>
      </c>
      <c r="N9" s="54" t="str">
        <f aca="false">IF(OR(SprintTable[[#This Row],[Sprint]]="",SprintTable[[#This Row],[Status]]="Future"),"",SUMIFS(tsk_LeafPoints,tsk_DoneDate,"&gt;="&amp;SprintTable[[#This Row],[Start]],tsk_DoneDate,"&lt;="&amp;SprintTable[[#This Row],[End]]))</f>
        <v/>
      </c>
      <c r="O9" s="124" t="str">
        <f aca="false">IF(OR(SprintTable[[#This Row],[Sprint]]="",SprintTable[[#This Row],[Status]]&lt;&gt;"Closed"),"",AVERAGE(INDEX(SprintTable[Done Points],MAX(1,SprintTable[[#This Row],[No]]-2)):INDEX(SprintTable[Done Points],SprintTable[[#This Row],[No]])))</f>
        <v/>
      </c>
      <c r="P9" s="54" t="str">
        <f aca="false">IF(OR(SprintTable[[#This Row],[Sprint]]="",SprintTable[[#This Row],[Status]]="Future"),"",TotalPoints-SUMIFS(tsk_LeafPoints,tsk_DoneDate,"&lt;="&amp;MIN(SprintTable[[#This Row],[End]],StatusDate)))</f>
        <v/>
      </c>
      <c r="Q9" s="54" t="n">
        <f aca="false">IF(SprintTable[[#This Row],[Sprint]]="","",TotalPoints-SUMIFS(tsk_LeafPoints,tsk_FcFinish,"&lt;="&amp;SprintTable[[#This Row],[End]]))</f>
        <v>0</v>
      </c>
      <c r="R9" s="54" t="n">
        <f aca="false">IF(SprintTable[[#This Row],[Sprint]]="","",TotalPoints*MAX(0,1-SprintTable[[#This Row],[No]]/SprintCount))</f>
        <v>0</v>
      </c>
      <c r="S9" s="41" t="e">
        <f aca="false">IF(SprintTable[[#This Row],[Remaining Points]]="",NA(),SprintTable[[#This Row],[Remaining Points]])</f>
        <v>#N/A</v>
      </c>
      <c r="T9" s="41" t="n">
        <f aca="false">IFERROR(MATCH(MID("JanFebMarAprMayJunJulAugSepOctNovDec",MONTH(DATE(YEAR(SprintTable[[#This Row],[Start]]),MONTH(SprintTable[[#This Row],[Start]])+0,1))*3-2,3)&amp;"-"&amp;RIGHT(YEAR(DATE(YEAR(SprintTable[[#This Row],[Start]]),MONTH(SprintTable[[#This Row],[Start]])+0,1)),2),LeaveTable[#Headers],0),0)</f>
        <v>0</v>
      </c>
      <c r="U9" s="41" t="n">
        <f aca="false">IFERROR(MATCH(MID("JanFebMarAprMayJunJulAugSepOctNovDec",MONTH(DATE(YEAR(SprintTable[[#This Row],[Start]]),MONTH(SprintTable[[#This Row],[Start]])+1,1))*3-2,3)&amp;"-"&amp;RIGHT(YEAR(DATE(YEAR(SprintTable[[#This Row],[Start]]),MONTH(SprintTable[[#This Row],[Start]])+1,1)),2),LeaveTable[#Headers],0),0)</f>
        <v>0</v>
      </c>
      <c r="V9" s="41"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0"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95"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3"/>
      <c r="M10" s="54" t="n">
        <f aca="false">IF(SprintTable[[#This Row],[Sprint]]="","",SUMIFS(tsk_LeafPoints,tsk_Sprint,SprintTable[[#This Row],[Sprint]]))</f>
        <v>0</v>
      </c>
      <c r="N10" s="54" t="str">
        <f aca="false">IF(OR(SprintTable[[#This Row],[Sprint]]="",SprintTable[[#This Row],[Status]]="Future"),"",SUMIFS(tsk_LeafPoints,tsk_DoneDate,"&gt;="&amp;SprintTable[[#This Row],[Start]],tsk_DoneDate,"&lt;="&amp;SprintTable[[#This Row],[End]]))</f>
        <v/>
      </c>
      <c r="O10" s="124" t="str">
        <f aca="false">IF(OR(SprintTable[[#This Row],[Sprint]]="",SprintTable[[#This Row],[Status]]&lt;&gt;"Closed"),"",AVERAGE(INDEX(SprintTable[Done Points],MAX(1,SprintTable[[#This Row],[No]]-2)):INDEX(SprintTable[Done Points],SprintTable[[#This Row],[No]])))</f>
        <v/>
      </c>
      <c r="P10" s="54" t="str">
        <f aca="false">IF(OR(SprintTable[[#This Row],[Sprint]]="",SprintTable[[#This Row],[Status]]="Future"),"",TotalPoints-SUMIFS(tsk_LeafPoints,tsk_DoneDate,"&lt;="&amp;MIN(SprintTable[[#This Row],[End]],StatusDate)))</f>
        <v/>
      </c>
      <c r="Q10" s="54" t="n">
        <f aca="false">IF(SprintTable[[#This Row],[Sprint]]="","",TotalPoints-SUMIFS(tsk_LeafPoints,tsk_FcFinish,"&lt;="&amp;SprintTable[[#This Row],[End]]))</f>
        <v>0</v>
      </c>
      <c r="R10" s="54" t="n">
        <f aca="false">IF(SprintTable[[#This Row],[Sprint]]="","",TotalPoints*MAX(0,1-SprintTable[[#This Row],[No]]/SprintCount))</f>
        <v>0</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0</v>
      </c>
      <c r="U10" s="41" t="n">
        <f aca="false">IFERROR(MATCH(MID("JanFebMarAprMayJunJulAugSepOctNovDec",MONTH(DATE(YEAR(SprintTable[[#This Row],[Start]]),MONTH(SprintTable[[#This Row],[Start]])+1,1))*3-2,3)&amp;"-"&amp;RIGHT(YEAR(DATE(YEAR(SprintTable[[#This Row],[Start]]),MONTH(SprintTable[[#This Row],[Start]])+1,1)),2),LeaveTable[#Headers],0),0)</f>
        <v>0</v>
      </c>
      <c r="V10" s="41"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1"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95"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3"/>
      <c r="M11" s="54" t="n">
        <f aca="false">IF(SprintTable[[#This Row],[Sprint]]="","",SUMIFS(tsk_LeafPoints,tsk_Sprint,SprintTable[[#This Row],[Sprint]]))</f>
        <v>0</v>
      </c>
      <c r="N11" s="54" t="str">
        <f aca="false">IF(OR(SprintTable[[#This Row],[Sprint]]="",SprintTable[[#This Row],[Status]]="Future"),"",SUMIFS(tsk_LeafPoints,tsk_DoneDate,"&gt;="&amp;SprintTable[[#This Row],[Start]],tsk_DoneDate,"&lt;="&amp;SprintTable[[#This Row],[End]]))</f>
        <v/>
      </c>
      <c r="O11" s="124" t="str">
        <f aca="false">IF(OR(SprintTable[[#This Row],[Sprint]]="",SprintTable[[#This Row],[Status]]&lt;&gt;"Closed"),"",AVERAGE(INDEX(SprintTable[Done Points],MAX(1,SprintTable[[#This Row],[No]]-2)):INDEX(SprintTable[Done Points],SprintTable[[#This Row],[No]])))</f>
        <v/>
      </c>
      <c r="P11" s="54" t="str">
        <f aca="false">IF(OR(SprintTable[[#This Row],[Sprint]]="",SprintTable[[#This Row],[Status]]="Future"),"",TotalPoints-SUMIFS(tsk_LeafPoints,tsk_DoneDate,"&lt;="&amp;MIN(SprintTable[[#This Row],[End]],StatusDate)))</f>
        <v/>
      </c>
      <c r="Q11" s="54" t="n">
        <f aca="false">IF(SprintTable[[#This Row],[Sprint]]="","",TotalPoints-SUMIFS(tsk_LeafPoints,tsk_FcFinish,"&lt;="&amp;SprintTable[[#This Row],[End]]))</f>
        <v>0</v>
      </c>
      <c r="R11" s="54" t="n">
        <f aca="false">IF(SprintTable[[#This Row],[Sprint]]="","",TotalPoints*MAX(0,1-SprintTable[[#This Row],[No]]/SprintCount))</f>
        <v>0</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0</v>
      </c>
      <c r="U11" s="41" t="n">
        <f aca="false">IFERROR(MATCH(MID("JanFebMarAprMayJunJulAugSepOctNovDec",MONTH(DATE(YEAR(SprintTable[[#This Row],[Start]]),MONTH(SprintTable[[#This Row],[Start]])+1,1))*3-2,3)&amp;"-"&amp;RIGHT(YEAR(DATE(YEAR(SprintTable[[#This Row],[Start]]),MONTH(SprintTable[[#This Row],[Start]])+1,1)),2),LeaveTable[#Headers],0),0)</f>
        <v>0</v>
      </c>
      <c r="V11" s="41"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2"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95"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3"/>
      <c r="M12" s="54" t="n">
        <f aca="false">IF(SprintTable[[#This Row],[Sprint]]="","",SUMIFS(tsk_LeafPoints,tsk_Sprint,SprintTable[[#This Row],[Sprint]]))</f>
        <v>0</v>
      </c>
      <c r="N12" s="54" t="str">
        <f aca="false">IF(OR(SprintTable[[#This Row],[Sprint]]="",SprintTable[[#This Row],[Status]]="Future"),"",SUMIFS(tsk_LeafPoints,tsk_DoneDate,"&gt;="&amp;SprintTable[[#This Row],[Start]],tsk_DoneDate,"&lt;="&amp;SprintTable[[#This Row],[End]]))</f>
        <v/>
      </c>
      <c r="O12" s="124" t="str">
        <f aca="false">IF(OR(SprintTable[[#This Row],[Sprint]]="",SprintTable[[#This Row],[Status]]&lt;&gt;"Closed"),"",AVERAGE(INDEX(SprintTable[Done Points],MAX(1,SprintTable[[#This Row],[No]]-2)):INDEX(SprintTable[Done Points],SprintTable[[#This Row],[No]])))</f>
        <v/>
      </c>
      <c r="P12" s="54" t="str">
        <f aca="false">IF(OR(SprintTable[[#This Row],[Sprint]]="",SprintTable[[#This Row],[Status]]="Future"),"",TotalPoints-SUMIFS(tsk_LeafPoints,tsk_DoneDate,"&lt;="&amp;MIN(SprintTable[[#This Row],[End]],StatusDate)))</f>
        <v/>
      </c>
      <c r="Q12" s="54" t="n">
        <f aca="false">IF(SprintTable[[#This Row],[Sprint]]="","",TotalPoints-SUMIFS(tsk_LeafPoints,tsk_FcFinish,"&lt;="&amp;SprintTable[[#This Row],[End]]))</f>
        <v>0</v>
      </c>
      <c r="R12" s="54" t="n">
        <f aca="false">IF(SprintTable[[#This Row],[Sprint]]="","",TotalPoints*MAX(0,1-SprintTable[[#This Row],[No]]/SprintCount))</f>
        <v>0</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0</v>
      </c>
      <c r="U12" s="41" t="n">
        <f aca="false">IFERROR(MATCH(MID("JanFebMarAprMayJunJulAugSepOctNovDec",MONTH(DATE(YEAR(SprintTable[[#This Row],[Start]]),MONTH(SprintTable[[#This Row],[Start]])+1,1))*3-2,3)&amp;"-"&amp;RIGHT(YEAR(DATE(YEAR(SprintTable[[#This Row],[Start]]),MONTH(SprintTable[[#This Row],[Start]])+1,1)),2),LeaveTable[#Headers],0),0)</f>
        <v>0</v>
      </c>
      <c r="V12" s="41"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3"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95"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3"/>
      <c r="M13" s="54" t="n">
        <f aca="false">IF(SprintTable[[#This Row],[Sprint]]="","",SUMIFS(tsk_LeafPoints,tsk_Sprint,SprintTable[[#This Row],[Sprint]]))</f>
        <v>0</v>
      </c>
      <c r="N13" s="54" t="str">
        <f aca="false">IF(OR(SprintTable[[#This Row],[Sprint]]="",SprintTable[[#This Row],[Status]]="Future"),"",SUMIFS(tsk_LeafPoints,tsk_DoneDate,"&gt;="&amp;SprintTable[[#This Row],[Start]],tsk_DoneDate,"&lt;="&amp;SprintTable[[#This Row],[End]]))</f>
        <v/>
      </c>
      <c r="O13" s="124" t="str">
        <f aca="false">IF(OR(SprintTable[[#This Row],[Sprint]]="",SprintTable[[#This Row],[Status]]&lt;&gt;"Closed"),"",AVERAGE(INDEX(SprintTable[Done Points],MAX(1,SprintTable[[#This Row],[No]]-2)):INDEX(SprintTable[Done Points],SprintTable[[#This Row],[No]])))</f>
        <v/>
      </c>
      <c r="P13" s="54" t="str">
        <f aca="false">IF(OR(SprintTable[[#This Row],[Sprint]]="",SprintTable[[#This Row],[Status]]="Future"),"",TotalPoints-SUMIFS(tsk_LeafPoints,tsk_DoneDate,"&lt;="&amp;MIN(SprintTable[[#This Row],[End]],StatusDate)))</f>
        <v/>
      </c>
      <c r="Q13" s="54" t="n">
        <f aca="false">IF(SprintTable[[#This Row],[Sprint]]="","",TotalPoints-SUMIFS(tsk_LeafPoints,tsk_FcFinish,"&lt;="&amp;SprintTable[[#This Row],[End]]))</f>
        <v>0</v>
      </c>
      <c r="R13" s="54" t="n">
        <f aca="false">IF(SprintTable[[#This Row],[Sprint]]="","",TotalPoints*MAX(0,1-SprintTable[[#This Row],[No]]/SprintCount))</f>
        <v>0</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0</v>
      </c>
      <c r="U13" s="41" t="n">
        <f aca="false">IFERROR(MATCH(MID("JanFebMarAprMayJunJulAugSepOctNovDec",MONTH(DATE(YEAR(SprintTable[[#This Row],[Start]]),MONTH(SprintTable[[#This Row],[Start]])+1,1))*3-2,3)&amp;"-"&amp;RIGHT(YEAR(DATE(YEAR(SprintTable[[#This Row],[Start]]),MONTH(SprintTable[[#This Row],[Start]])+1,1)),2),LeaveTable[#Headers],0),0)</f>
        <v>0</v>
      </c>
      <c r="V13" s="41"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4"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95"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3"/>
      <c r="M14" s="54" t="n">
        <f aca="false">IF(SprintTable[[#This Row],[Sprint]]="","",SUMIFS(tsk_LeafPoints,tsk_Sprint,SprintTable[[#This Row],[Sprint]]))</f>
        <v>0</v>
      </c>
      <c r="N14" s="54" t="str">
        <f aca="false">IF(OR(SprintTable[[#This Row],[Sprint]]="",SprintTable[[#This Row],[Status]]="Future"),"",SUMIFS(tsk_LeafPoints,tsk_DoneDate,"&gt;="&amp;SprintTable[[#This Row],[Start]],tsk_DoneDate,"&lt;="&amp;SprintTable[[#This Row],[End]]))</f>
        <v/>
      </c>
      <c r="O14" s="124" t="str">
        <f aca="false">IF(OR(SprintTable[[#This Row],[Sprint]]="",SprintTable[[#This Row],[Status]]&lt;&gt;"Closed"),"",AVERAGE(INDEX(SprintTable[Done Points],MAX(1,SprintTable[[#This Row],[No]]-2)):INDEX(SprintTable[Done Points],SprintTable[[#This Row],[No]])))</f>
        <v/>
      </c>
      <c r="P14" s="54" t="str">
        <f aca="false">IF(OR(SprintTable[[#This Row],[Sprint]]="",SprintTable[[#This Row],[Status]]="Future"),"",TotalPoints-SUMIFS(tsk_LeafPoints,tsk_DoneDate,"&lt;="&amp;MIN(SprintTable[[#This Row],[End]],StatusDate)))</f>
        <v/>
      </c>
      <c r="Q14" s="54" t="n">
        <f aca="false">IF(SprintTable[[#This Row],[Sprint]]="","",TotalPoints-SUMIFS(tsk_LeafPoints,tsk_FcFinish,"&lt;="&amp;SprintTable[[#This Row],[End]]))</f>
        <v>0</v>
      </c>
      <c r="R14" s="54" t="n">
        <f aca="false">IF(SprintTable[[#This Row],[Sprint]]="","",TotalPoints*MAX(0,1-SprintTable[[#This Row],[No]]/SprintCount))</f>
        <v>0</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0</v>
      </c>
      <c r="U14" s="41" t="n">
        <f aca="false">IFERROR(MATCH(MID("JanFebMarAprMayJunJulAugSepOctNovDec",MONTH(DATE(YEAR(SprintTable[[#This Row],[Start]]),MONTH(SprintTable[[#This Row],[Start]])+1,1))*3-2,3)&amp;"-"&amp;RIGHT(YEAR(DATE(YEAR(SprintTable[[#This Row],[Start]]),MONTH(SprintTable[[#This Row],[Start]])+1,1)),2),LeaveTable[#Headers],0),0)</f>
        <v>0</v>
      </c>
      <c r="V14" s="41"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95"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3"/>
      <c r="M15" s="54" t="n">
        <f aca="false">IF(SprintTable[[#This Row],[Sprint]]="","",SUMIFS(tsk_LeafPoints,tsk_Sprint,SprintTable[[#This Row],[Sprint]]))</f>
        <v>0</v>
      </c>
      <c r="N15" s="54" t="str">
        <f aca="false">IF(OR(SprintTable[[#This Row],[Sprint]]="",SprintTable[[#This Row],[Status]]="Future"),"",SUMIFS(tsk_LeafPoints,tsk_DoneDate,"&gt;="&amp;SprintTable[[#This Row],[Start]],tsk_DoneDate,"&lt;="&amp;SprintTable[[#This Row],[End]]))</f>
        <v/>
      </c>
      <c r="O15" s="124" t="str">
        <f aca="false">IF(OR(SprintTable[[#This Row],[Sprint]]="",SprintTable[[#This Row],[Status]]&lt;&gt;"Closed"),"",AVERAGE(INDEX(SprintTable[Done Points],MAX(1,SprintTable[[#This Row],[No]]-2)):INDEX(SprintTable[Done Points],SprintTable[[#This Row],[No]])))</f>
        <v/>
      </c>
      <c r="P15" s="54" t="str">
        <f aca="false">IF(OR(SprintTable[[#This Row],[Sprint]]="",SprintTable[[#This Row],[Status]]="Future"),"",TotalPoints-SUMIFS(tsk_LeafPoints,tsk_DoneDate,"&lt;="&amp;MIN(SprintTable[[#This Row],[End]],StatusDate)))</f>
        <v/>
      </c>
      <c r="Q15" s="54" t="n">
        <f aca="false">IF(SprintTable[[#This Row],[Sprint]]="","",TotalPoints-SUMIFS(tsk_LeafPoints,tsk_FcFinish,"&lt;="&amp;SprintTable[[#This Row],[End]]))</f>
        <v>0</v>
      </c>
      <c r="R15" s="54" t="n">
        <f aca="false">IF(SprintTable[[#This Row],[Sprint]]="","",TotalPoints*MAX(0,1-SprintTable[[#This Row],[No]]/SprintCount))</f>
        <v>0</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0</v>
      </c>
      <c r="U15" s="41" t="n">
        <f aca="false">IFERROR(MATCH(MID("JanFebMarAprMayJunJulAugSepOctNovDec",MONTH(DATE(YEAR(SprintTable[[#This Row],[Start]]),MONTH(SprintTable[[#This Row],[Start]])+1,1))*3-2,3)&amp;"-"&amp;RIGHT(YEAR(DATE(YEAR(SprintTable[[#This Row],[Start]]),MONTH(SprintTable[[#This Row],[Start]])+1,1)),2),LeaveTable[#Headers],0),0)</f>
        <v>0</v>
      </c>
      <c r="V15" s="41"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95"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3"/>
      <c r="M16" s="54" t="n">
        <f aca="false">IF(SprintTable[[#This Row],[Sprint]]="","",SUMIFS(tsk_LeafPoints,tsk_Sprint,SprintTable[[#This Row],[Sprint]]))</f>
        <v>0</v>
      </c>
      <c r="N16" s="54" t="str">
        <f aca="false">IF(OR(SprintTable[[#This Row],[Sprint]]="",SprintTable[[#This Row],[Status]]="Future"),"",SUMIFS(tsk_LeafPoints,tsk_DoneDate,"&gt;="&amp;SprintTable[[#This Row],[Start]],tsk_DoneDate,"&lt;="&amp;SprintTable[[#This Row],[End]]))</f>
        <v/>
      </c>
      <c r="O16" s="124" t="str">
        <f aca="false">IF(OR(SprintTable[[#This Row],[Sprint]]="",SprintTable[[#This Row],[Status]]&lt;&gt;"Closed"),"",AVERAGE(INDEX(SprintTable[Done Points],MAX(1,SprintTable[[#This Row],[No]]-2)):INDEX(SprintTable[Done Points],SprintTable[[#This Row],[No]])))</f>
        <v/>
      </c>
      <c r="P16" s="54" t="str">
        <f aca="false">IF(OR(SprintTable[[#This Row],[Sprint]]="",SprintTable[[#This Row],[Status]]="Future"),"",TotalPoints-SUMIFS(tsk_LeafPoints,tsk_DoneDate,"&lt;="&amp;MIN(SprintTable[[#This Row],[End]],StatusDate)))</f>
        <v/>
      </c>
      <c r="Q16" s="54" t="n">
        <f aca="false">IF(SprintTable[[#This Row],[Sprint]]="","",TotalPoints-SUMIFS(tsk_LeafPoints,tsk_FcFinish,"&lt;="&amp;SprintTable[[#This Row],[End]]))</f>
        <v>0</v>
      </c>
      <c r="R16" s="54" t="n">
        <f aca="false">IF(SprintTable[[#This Row],[Sprint]]="","",TotalPoints*MAX(0,1-SprintTable[[#This Row],[No]]/SprintCount))</f>
        <v>0</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0</v>
      </c>
      <c r="U16" s="41" t="n">
        <f aca="false">IFERROR(MATCH(MID("JanFebMarAprMayJunJulAugSepOctNovDec",MONTH(DATE(YEAR(SprintTable[[#This Row],[Start]]),MONTH(SprintTable[[#This Row],[Start]])+1,1))*3-2,3)&amp;"-"&amp;RIGHT(YEAR(DATE(YEAR(SprintTable[[#This Row],[Start]]),MONTH(SprintTable[[#This Row],[Start]])+1,1)),2),LeaveTable[#Headers],0),0)</f>
        <v>0</v>
      </c>
      <c r="V16" s="41"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95"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3"/>
      <c r="M17" s="54" t="n">
        <f aca="false">IF(SprintTable[[#This Row],[Sprint]]="","",SUMIFS(tsk_LeafPoints,tsk_Sprint,SprintTable[[#This Row],[Sprint]]))</f>
        <v>0</v>
      </c>
      <c r="N17" s="54" t="str">
        <f aca="false">IF(OR(SprintTable[[#This Row],[Sprint]]="",SprintTable[[#This Row],[Status]]="Future"),"",SUMIFS(tsk_LeafPoints,tsk_DoneDate,"&gt;="&amp;SprintTable[[#This Row],[Start]],tsk_DoneDate,"&lt;="&amp;SprintTable[[#This Row],[End]]))</f>
        <v/>
      </c>
      <c r="O17" s="124" t="str">
        <f aca="false">IF(OR(SprintTable[[#This Row],[Sprint]]="",SprintTable[[#This Row],[Status]]&lt;&gt;"Closed"),"",AVERAGE(INDEX(SprintTable[Done Points],MAX(1,SprintTable[[#This Row],[No]]-2)):INDEX(SprintTable[Done Points],SprintTable[[#This Row],[No]])))</f>
        <v/>
      </c>
      <c r="P17" s="54" t="str">
        <f aca="false">IF(OR(SprintTable[[#This Row],[Sprint]]="",SprintTable[[#This Row],[Status]]="Future"),"",TotalPoints-SUMIFS(tsk_LeafPoints,tsk_DoneDate,"&lt;="&amp;MIN(SprintTable[[#This Row],[End]],StatusDate)))</f>
        <v/>
      </c>
      <c r="Q17" s="54" t="n">
        <f aca="false">IF(SprintTable[[#This Row],[Sprint]]="","",TotalPoints-SUMIFS(tsk_LeafPoints,tsk_FcFinish,"&lt;="&amp;SprintTable[[#This Row],[End]]))</f>
        <v>0</v>
      </c>
      <c r="R17" s="54"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0</v>
      </c>
      <c r="U17" s="41" t="n">
        <f aca="false">IFERROR(MATCH(MID("JanFebMarAprMayJunJulAugSepOctNovDec",MONTH(DATE(YEAR(SprintTable[[#This Row],[Start]]),MONTH(SprintTable[[#This Row],[Start]])+1,1))*3-2,3)&amp;"-"&amp;RIGHT(YEAR(DATE(YEAR(SprintTable[[#This Row],[Start]]),MONTH(SprintTable[[#This Row],[Start]])+1,1)),2),LeaveTable[#Headers],0),0)</f>
        <v>0</v>
      </c>
      <c r="V17" s="41"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5"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3"/>
      <c r="M18" s="54" t="str">
        <f aca="false">IF(SprintTable[[#This Row],[Sprint]]="","",SUMIFS(tsk_LeafPoints,tsk_Sprint,SprintTable[[#This Row],[Sprint]]))</f>
        <v/>
      </c>
      <c r="N18" s="54" t="str">
        <f aca="false">IF(OR(SprintTable[[#This Row],[Sprint]]="",SprintTable[[#This Row],[Status]]="Future"),"",SUMIFS(tsk_LeafPoints,tsk_DoneDate,"&gt;="&amp;SprintTable[[#This Row],[Start]],tsk_DoneDate,"&lt;="&amp;SprintTable[[#This Row],[End]]))</f>
        <v/>
      </c>
      <c r="O18" s="124" t="str">
        <f aca="false">IF(OR(SprintTable[[#This Row],[Sprint]]="",SprintTable[[#This Row],[Status]]&lt;&gt;"Closed"),"",AVERAGE(INDEX(SprintTable[Done Points],MAX(1,SprintTable[[#This Row],[No]]-2)):INDEX(SprintTable[Done Points],SprintTable[[#This Row],[No]])))</f>
        <v/>
      </c>
      <c r="P18" s="54" t="str">
        <f aca="false">IF(OR(SprintTable[[#This Row],[Sprint]]="",SprintTable[[#This Row],[Status]]="Future"),"",TotalPoints-SUMIFS(tsk_LeafPoints,tsk_DoneDate,"&lt;="&amp;MIN(SprintTable[[#This Row],[End]],StatusDate)))</f>
        <v/>
      </c>
      <c r="Q18" s="54" t="str">
        <f aca="false">IF(SprintTable[[#This Row],[Sprint]]="","",TotalPoints-SUMIFS(tsk_LeafPoints,tsk_FcFinish,"&lt;="&amp;SprintTable[[#This Row],[End]]))</f>
        <v/>
      </c>
      <c r="R18" s="54"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0</v>
      </c>
      <c r="U18" s="41" t="n">
        <f aca="false">IFERROR(MATCH(MID("JanFebMarAprMayJunJulAugSepOctNovDec",MONTH(DATE(YEAR(SprintTable[[#This Row],[Start]]),MONTH(SprintTable[[#This Row],[Start]])+1,1))*3-2,3)&amp;"-"&amp;RIGHT(YEAR(DATE(YEAR(SprintTable[[#This Row],[Start]]),MONTH(SprintTable[[#This Row],[Start]])+1,1)),2),LeaveTable[#Headers],0),0)</f>
        <v>0</v>
      </c>
      <c r="V18" s="41"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5"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3"/>
      <c r="M19" s="54" t="str">
        <f aca="false">IF(SprintTable[[#This Row],[Sprint]]="","",SUMIFS(tsk_LeafPoints,tsk_Sprint,SprintTable[[#This Row],[Sprint]]))</f>
        <v/>
      </c>
      <c r="N19" s="54" t="str">
        <f aca="false">IF(OR(SprintTable[[#This Row],[Sprint]]="",SprintTable[[#This Row],[Status]]="Future"),"",SUMIFS(tsk_LeafPoints,tsk_DoneDate,"&gt;="&amp;SprintTable[[#This Row],[Start]],tsk_DoneDate,"&lt;="&amp;SprintTable[[#This Row],[End]]))</f>
        <v/>
      </c>
      <c r="O19" s="124" t="str">
        <f aca="false">IF(OR(SprintTable[[#This Row],[Sprint]]="",SprintTable[[#This Row],[Status]]&lt;&gt;"Closed"),"",AVERAGE(INDEX(SprintTable[Done Points],MAX(1,SprintTable[[#This Row],[No]]-2)):INDEX(SprintTable[Done Points],SprintTable[[#This Row],[No]])))</f>
        <v/>
      </c>
      <c r="P19" s="54" t="str">
        <f aca="false">IF(OR(SprintTable[[#This Row],[Sprint]]="",SprintTable[[#This Row],[Status]]="Future"),"",TotalPoints-SUMIFS(tsk_LeafPoints,tsk_DoneDate,"&lt;="&amp;MIN(SprintTable[[#This Row],[End]],StatusDate)))</f>
        <v/>
      </c>
      <c r="Q19" s="54" t="str">
        <f aca="false">IF(SprintTable[[#This Row],[Sprint]]="","",TotalPoints-SUMIFS(tsk_LeafPoints,tsk_FcFinish,"&lt;="&amp;SprintTable[[#This Row],[End]]))</f>
        <v/>
      </c>
      <c r="R19" s="54"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0</v>
      </c>
      <c r="U19" s="41" t="n">
        <f aca="false">IFERROR(MATCH(MID("JanFebMarAprMayJunJulAugSepOctNovDec",MONTH(DATE(YEAR(SprintTable[[#This Row],[Start]]),MONTH(SprintTable[[#This Row],[Start]])+1,1))*3-2,3)&amp;"-"&amp;RIGHT(YEAR(DATE(YEAR(SprintTable[[#This Row],[Start]]),MONTH(SprintTable[[#This Row],[Start]])+1,1)),2),LeaveTable[#Headers],0),0)</f>
        <v>0</v>
      </c>
      <c r="V19" s="41"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5"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3"/>
      <c r="M20" s="54" t="str">
        <f aca="false">IF(SprintTable[[#This Row],[Sprint]]="","",SUMIFS(tsk_LeafPoints,tsk_Sprint,SprintTable[[#This Row],[Sprint]]))</f>
        <v/>
      </c>
      <c r="N20" s="54" t="str">
        <f aca="false">IF(OR(SprintTable[[#This Row],[Sprint]]="",SprintTable[[#This Row],[Status]]="Future"),"",SUMIFS(tsk_LeafPoints,tsk_DoneDate,"&gt;="&amp;SprintTable[[#This Row],[Start]],tsk_DoneDate,"&lt;="&amp;SprintTable[[#This Row],[End]]))</f>
        <v/>
      </c>
      <c r="O20" s="124" t="str">
        <f aca="false">IF(OR(SprintTable[[#This Row],[Sprint]]="",SprintTable[[#This Row],[Status]]&lt;&gt;"Closed"),"",AVERAGE(INDEX(SprintTable[Done Points],MAX(1,SprintTable[[#This Row],[No]]-2)):INDEX(SprintTable[Done Points],SprintTable[[#This Row],[No]])))</f>
        <v/>
      </c>
      <c r="P20" s="54" t="str">
        <f aca="false">IF(OR(SprintTable[[#This Row],[Sprint]]="",SprintTable[[#This Row],[Status]]="Future"),"",TotalPoints-SUMIFS(tsk_LeafPoints,tsk_DoneDate,"&lt;="&amp;MIN(SprintTable[[#This Row],[End]],StatusDate)))</f>
        <v/>
      </c>
      <c r="Q20" s="54" t="str">
        <f aca="false">IF(SprintTable[[#This Row],[Sprint]]="","",TotalPoints-SUMIFS(tsk_LeafPoints,tsk_FcFinish,"&lt;="&amp;SprintTable[[#This Row],[End]]))</f>
        <v/>
      </c>
      <c r="R20" s="54"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0</v>
      </c>
      <c r="U20" s="41" t="n">
        <f aca="false">IFERROR(MATCH(MID("JanFebMarAprMayJunJulAugSepOctNovDec",MONTH(DATE(YEAR(SprintTable[[#This Row],[Start]]),MONTH(SprintTable[[#This Row],[Start]])+1,1))*3-2,3)&amp;"-"&amp;RIGHT(YEAR(DATE(YEAR(SprintTable[[#This Row],[Start]]),MONTH(SprintTable[[#This Row],[Start]])+1,1)),2),LeaveTable[#Headers],0),0)</f>
        <v>0</v>
      </c>
      <c r="V20" s="41"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5"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3"/>
      <c r="M21" s="54" t="str">
        <f aca="false">IF(SprintTable[[#This Row],[Sprint]]="","",SUMIFS(tsk_LeafPoints,tsk_Sprint,SprintTable[[#This Row],[Sprint]]))</f>
        <v/>
      </c>
      <c r="N21" s="54" t="str">
        <f aca="false">IF(OR(SprintTable[[#This Row],[Sprint]]="",SprintTable[[#This Row],[Status]]="Future"),"",SUMIFS(tsk_LeafPoints,tsk_DoneDate,"&gt;="&amp;SprintTable[[#This Row],[Start]],tsk_DoneDate,"&lt;="&amp;SprintTable[[#This Row],[End]]))</f>
        <v/>
      </c>
      <c r="O21" s="124" t="str">
        <f aca="false">IF(OR(SprintTable[[#This Row],[Sprint]]="",SprintTable[[#This Row],[Status]]&lt;&gt;"Closed"),"",AVERAGE(INDEX(SprintTable[Done Points],MAX(1,SprintTable[[#This Row],[No]]-2)):INDEX(SprintTable[Done Points],SprintTable[[#This Row],[No]])))</f>
        <v/>
      </c>
      <c r="P21" s="54" t="str">
        <f aca="false">IF(OR(SprintTable[[#This Row],[Sprint]]="",SprintTable[[#This Row],[Status]]="Future"),"",TotalPoints-SUMIFS(tsk_LeafPoints,tsk_DoneDate,"&lt;="&amp;MIN(SprintTable[[#This Row],[End]],StatusDate)))</f>
        <v/>
      </c>
      <c r="Q21" s="54" t="str">
        <f aca="false">IF(SprintTable[[#This Row],[Sprint]]="","",TotalPoints-SUMIFS(tsk_LeafPoints,tsk_FcFinish,"&lt;="&amp;SprintTable[[#This Row],[End]]))</f>
        <v/>
      </c>
      <c r="R21" s="54"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0</v>
      </c>
      <c r="U21" s="41" t="n">
        <f aca="false">IFERROR(MATCH(MID("JanFebMarAprMayJunJulAugSepOctNovDec",MONTH(DATE(YEAR(SprintTable[[#This Row],[Start]]),MONTH(SprintTable[[#This Row],[Start]])+1,1))*3-2,3)&amp;"-"&amp;RIGHT(YEAR(DATE(YEAR(SprintTable[[#This Row],[Start]]),MONTH(SprintTable[[#This Row],[Start]])+1,1)),2),LeaveTable[#Headers],0),0)</f>
        <v>0</v>
      </c>
      <c r="V21" s="41"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5"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3"/>
      <c r="M22" s="54" t="str">
        <f aca="false">IF(SprintTable[[#This Row],[Sprint]]="","",SUMIFS(tsk_LeafPoints,tsk_Sprint,SprintTable[[#This Row],[Sprint]]))</f>
        <v/>
      </c>
      <c r="N22" s="54" t="str">
        <f aca="false">IF(OR(SprintTable[[#This Row],[Sprint]]="",SprintTable[[#This Row],[Status]]="Future"),"",SUMIFS(tsk_LeafPoints,tsk_DoneDate,"&gt;="&amp;SprintTable[[#This Row],[Start]],tsk_DoneDate,"&lt;="&amp;SprintTable[[#This Row],[End]]))</f>
        <v/>
      </c>
      <c r="O22" s="124" t="str">
        <f aca="false">IF(OR(SprintTable[[#This Row],[Sprint]]="",SprintTable[[#This Row],[Status]]&lt;&gt;"Closed"),"",AVERAGE(INDEX(SprintTable[Done Points],MAX(1,SprintTable[[#This Row],[No]]-2)):INDEX(SprintTable[Done Points],SprintTable[[#This Row],[No]])))</f>
        <v/>
      </c>
      <c r="P22" s="54" t="str">
        <f aca="false">IF(OR(SprintTable[[#This Row],[Sprint]]="",SprintTable[[#This Row],[Status]]="Future"),"",TotalPoints-SUMIFS(tsk_LeafPoints,tsk_DoneDate,"&lt;="&amp;MIN(SprintTable[[#This Row],[End]],StatusDate)))</f>
        <v/>
      </c>
      <c r="Q22" s="54" t="str">
        <f aca="false">IF(SprintTable[[#This Row],[Sprint]]="","",TotalPoints-SUMIFS(tsk_LeafPoints,tsk_FcFinish,"&lt;="&amp;SprintTable[[#This Row],[End]]))</f>
        <v/>
      </c>
      <c r="R22" s="54"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0</v>
      </c>
      <c r="U22" s="41" t="n">
        <f aca="false">IFERROR(MATCH(MID("JanFebMarAprMayJunJulAugSepOctNovDec",MONTH(DATE(YEAR(SprintTable[[#This Row],[Start]]),MONTH(SprintTable[[#This Row],[Start]])+1,1))*3-2,3)&amp;"-"&amp;RIGHT(YEAR(DATE(YEAR(SprintTable[[#This Row],[Start]]),MONTH(SprintTable[[#This Row],[Start]])+1,1)),2),LeaveTable[#Headers],0),0)</f>
        <v>0</v>
      </c>
      <c r="V22" s="41"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5"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3"/>
      <c r="M23" s="54" t="str">
        <f aca="false">IF(SprintTable[[#This Row],[Sprint]]="","",SUMIFS(tsk_LeafPoints,tsk_Sprint,SprintTable[[#This Row],[Sprint]]))</f>
        <v/>
      </c>
      <c r="N23" s="54" t="str">
        <f aca="false">IF(OR(SprintTable[[#This Row],[Sprint]]="",SprintTable[[#This Row],[Status]]="Future"),"",SUMIFS(tsk_LeafPoints,tsk_DoneDate,"&gt;="&amp;SprintTable[[#This Row],[Start]],tsk_DoneDate,"&lt;="&amp;SprintTable[[#This Row],[End]]))</f>
        <v/>
      </c>
      <c r="O23" s="124" t="str">
        <f aca="false">IF(OR(SprintTable[[#This Row],[Sprint]]="",SprintTable[[#This Row],[Status]]&lt;&gt;"Closed"),"",AVERAGE(INDEX(SprintTable[Done Points],MAX(1,SprintTable[[#This Row],[No]]-2)):INDEX(SprintTable[Done Points],SprintTable[[#This Row],[No]])))</f>
        <v/>
      </c>
      <c r="P23" s="54" t="str">
        <f aca="false">IF(OR(SprintTable[[#This Row],[Sprint]]="",SprintTable[[#This Row],[Status]]="Future"),"",TotalPoints-SUMIFS(tsk_LeafPoints,tsk_DoneDate,"&lt;="&amp;MIN(SprintTable[[#This Row],[End]],StatusDate)))</f>
        <v/>
      </c>
      <c r="Q23" s="54" t="str">
        <f aca="false">IF(SprintTable[[#This Row],[Sprint]]="","",TotalPoints-SUMIFS(tsk_LeafPoints,tsk_FcFinish,"&lt;="&amp;SprintTable[[#This Row],[End]]))</f>
        <v/>
      </c>
      <c r="R23" s="54"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0</v>
      </c>
      <c r="U23" s="41" t="n">
        <f aca="false">IFERROR(MATCH(MID("JanFebMarAprMayJunJulAugSepOctNovDec",MONTH(DATE(YEAR(SprintTable[[#This Row],[Start]]),MONTH(SprintTable[[#This Row],[Start]])+1,1))*3-2,3)&amp;"-"&amp;RIGHT(YEAR(DATE(YEAR(SprintTable[[#This Row],[Start]]),MONTH(SprintTable[[#This Row],[Start]])+1,1)),2),LeaveTable[#Headers],0),0)</f>
        <v>0</v>
      </c>
      <c r="V23" s="41"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5"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3"/>
      <c r="M24" s="54" t="str">
        <f aca="false">IF(SprintTable[[#This Row],[Sprint]]="","",SUMIFS(tsk_LeafPoints,tsk_Sprint,SprintTable[[#This Row],[Sprint]]))</f>
        <v/>
      </c>
      <c r="N24" s="54" t="str">
        <f aca="false">IF(OR(SprintTable[[#This Row],[Sprint]]="",SprintTable[[#This Row],[Status]]="Future"),"",SUMIFS(tsk_LeafPoints,tsk_DoneDate,"&gt;="&amp;SprintTable[[#This Row],[Start]],tsk_DoneDate,"&lt;="&amp;SprintTable[[#This Row],[End]]))</f>
        <v/>
      </c>
      <c r="O24" s="124" t="str">
        <f aca="false">IF(OR(SprintTable[[#This Row],[Sprint]]="",SprintTable[[#This Row],[Status]]&lt;&gt;"Closed"),"",AVERAGE(INDEX(SprintTable[Done Points],MAX(1,SprintTable[[#This Row],[No]]-2)):INDEX(SprintTable[Done Points],SprintTable[[#This Row],[No]])))</f>
        <v/>
      </c>
      <c r="P24" s="54" t="str">
        <f aca="false">IF(OR(SprintTable[[#This Row],[Sprint]]="",SprintTable[[#This Row],[Status]]="Future"),"",TotalPoints-SUMIFS(tsk_LeafPoints,tsk_DoneDate,"&lt;="&amp;MIN(SprintTable[[#This Row],[End]],StatusDate)))</f>
        <v/>
      </c>
      <c r="Q24" s="54" t="str">
        <f aca="false">IF(SprintTable[[#This Row],[Sprint]]="","",TotalPoints-SUMIFS(tsk_LeafPoints,tsk_FcFinish,"&lt;="&amp;SprintTable[[#This Row],[End]]))</f>
        <v/>
      </c>
      <c r="R24" s="54"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0</v>
      </c>
      <c r="U24" s="41" t="n">
        <f aca="false">IFERROR(MATCH(MID("JanFebMarAprMayJunJulAugSepOctNovDec",MONTH(DATE(YEAR(SprintTable[[#This Row],[Start]]),MONTH(SprintTable[[#This Row],[Start]])+1,1))*3-2,3)&amp;"-"&amp;RIGHT(YEAR(DATE(YEAR(SprintTable[[#This Row],[Start]]),MONTH(SprintTable[[#This Row],[Start]])+1,1)),2),LeaveTable[#Headers],0),0)</f>
        <v>0</v>
      </c>
      <c r="V24" s="41"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5"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3"/>
      <c r="M25" s="54" t="str">
        <f aca="false">IF(SprintTable[[#This Row],[Sprint]]="","",SUMIFS(tsk_LeafPoints,tsk_Sprint,SprintTable[[#This Row],[Sprint]]))</f>
        <v/>
      </c>
      <c r="N25" s="54" t="str">
        <f aca="false">IF(OR(SprintTable[[#This Row],[Sprint]]="",SprintTable[[#This Row],[Status]]="Future"),"",SUMIFS(tsk_LeafPoints,tsk_DoneDate,"&gt;="&amp;SprintTable[[#This Row],[Start]],tsk_DoneDate,"&lt;="&amp;SprintTable[[#This Row],[End]]))</f>
        <v/>
      </c>
      <c r="O25" s="124" t="str">
        <f aca="false">IF(OR(SprintTable[[#This Row],[Sprint]]="",SprintTable[[#This Row],[Status]]&lt;&gt;"Closed"),"",AVERAGE(INDEX(SprintTable[Done Points],MAX(1,SprintTable[[#This Row],[No]]-2)):INDEX(SprintTable[Done Points],SprintTable[[#This Row],[No]])))</f>
        <v/>
      </c>
      <c r="P25" s="54" t="str">
        <f aca="false">IF(OR(SprintTable[[#This Row],[Sprint]]="",SprintTable[[#This Row],[Status]]="Future"),"",TotalPoints-SUMIFS(tsk_LeafPoints,tsk_DoneDate,"&lt;="&amp;MIN(SprintTable[[#This Row],[End]],StatusDate)))</f>
        <v/>
      </c>
      <c r="Q25" s="54" t="str">
        <f aca="false">IF(SprintTable[[#This Row],[Sprint]]="","",TotalPoints-SUMIFS(tsk_LeafPoints,tsk_FcFinish,"&lt;="&amp;SprintTable[[#This Row],[End]]))</f>
        <v/>
      </c>
      <c r="R25" s="54"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0</v>
      </c>
      <c r="U25" s="41" t="n">
        <f aca="false">IFERROR(MATCH(MID("JanFebMarAprMayJunJulAugSepOctNovDec",MONTH(DATE(YEAR(SprintTable[[#This Row],[Start]]),MONTH(SprintTable[[#This Row],[Start]])+1,1))*3-2,3)&amp;"-"&amp;RIGHT(YEAR(DATE(YEAR(SprintTable[[#This Row],[Start]]),MONTH(SprintTable[[#This Row],[Start]])+1,1)),2),LeaveTable[#Headers],0),0)</f>
        <v>0</v>
      </c>
      <c r="V25" s="41"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5"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3"/>
      <c r="M26" s="54" t="str">
        <f aca="false">IF(SprintTable[[#This Row],[Sprint]]="","",SUMIFS(tsk_LeafPoints,tsk_Sprint,SprintTable[[#This Row],[Sprint]]))</f>
        <v/>
      </c>
      <c r="N26" s="54" t="str">
        <f aca="false">IF(OR(SprintTable[[#This Row],[Sprint]]="",SprintTable[[#This Row],[Status]]="Future"),"",SUMIFS(tsk_LeafPoints,tsk_DoneDate,"&gt;="&amp;SprintTable[[#This Row],[Start]],tsk_DoneDate,"&lt;="&amp;SprintTable[[#This Row],[End]]))</f>
        <v/>
      </c>
      <c r="O26" s="124" t="str">
        <f aca="false">IF(OR(SprintTable[[#This Row],[Sprint]]="",SprintTable[[#This Row],[Status]]&lt;&gt;"Closed"),"",AVERAGE(INDEX(SprintTable[Done Points],MAX(1,SprintTable[[#This Row],[No]]-2)):INDEX(SprintTable[Done Points],SprintTable[[#This Row],[No]])))</f>
        <v/>
      </c>
      <c r="P26" s="54" t="str">
        <f aca="false">IF(OR(SprintTable[[#This Row],[Sprint]]="",SprintTable[[#This Row],[Status]]="Future"),"",TotalPoints-SUMIFS(tsk_LeafPoints,tsk_DoneDate,"&lt;="&amp;MIN(SprintTable[[#This Row],[End]],StatusDate)))</f>
        <v/>
      </c>
      <c r="Q26" s="54" t="str">
        <f aca="false">IF(SprintTable[[#This Row],[Sprint]]="","",TotalPoints-SUMIFS(tsk_LeafPoints,tsk_FcFinish,"&lt;="&amp;SprintTable[[#This Row],[End]]))</f>
        <v/>
      </c>
      <c r="R26" s="54"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0</v>
      </c>
      <c r="U26" s="41" t="n">
        <f aca="false">IFERROR(MATCH(MID("JanFebMarAprMayJunJulAugSepOctNovDec",MONTH(DATE(YEAR(SprintTable[[#This Row],[Start]]),MONTH(SprintTable[[#This Row],[Start]])+1,1))*3-2,3)&amp;"-"&amp;RIGHT(YEAR(DATE(YEAR(SprintTable[[#This Row],[Start]]),MONTH(SprintTable[[#This Row],[Start]])+1,1)),2),LeaveTable[#Headers],0),0)</f>
        <v>0</v>
      </c>
      <c r="V26" s="41"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5"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3"/>
      <c r="M27" s="54" t="str">
        <f aca="false">IF(SprintTable[[#This Row],[Sprint]]="","",SUMIFS(tsk_LeafPoints,tsk_Sprint,SprintTable[[#This Row],[Sprint]]))</f>
        <v/>
      </c>
      <c r="N27" s="54" t="str">
        <f aca="false">IF(OR(SprintTable[[#This Row],[Sprint]]="",SprintTable[[#This Row],[Status]]="Future"),"",SUMIFS(tsk_LeafPoints,tsk_DoneDate,"&gt;="&amp;SprintTable[[#This Row],[Start]],tsk_DoneDate,"&lt;="&amp;SprintTable[[#This Row],[End]]))</f>
        <v/>
      </c>
      <c r="O27" s="124" t="str">
        <f aca="false">IF(OR(SprintTable[[#This Row],[Sprint]]="",SprintTable[[#This Row],[Status]]&lt;&gt;"Closed"),"",AVERAGE(INDEX(SprintTable[Done Points],MAX(1,SprintTable[[#This Row],[No]]-2)):INDEX(SprintTable[Done Points],SprintTable[[#This Row],[No]])))</f>
        <v/>
      </c>
      <c r="P27" s="54" t="str">
        <f aca="false">IF(OR(SprintTable[[#This Row],[Sprint]]="",SprintTable[[#This Row],[Status]]="Future"),"",TotalPoints-SUMIFS(tsk_LeafPoints,tsk_DoneDate,"&lt;="&amp;MIN(SprintTable[[#This Row],[End]],StatusDate)))</f>
        <v/>
      </c>
      <c r="Q27" s="54" t="str">
        <f aca="false">IF(SprintTable[[#This Row],[Sprint]]="","",TotalPoints-SUMIFS(tsk_LeafPoints,tsk_FcFinish,"&lt;="&amp;SprintTable[[#This Row],[End]]))</f>
        <v/>
      </c>
      <c r="R27" s="54"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0</v>
      </c>
      <c r="U27" s="41" t="n">
        <f aca="false">IFERROR(MATCH(MID("JanFebMarAprMayJunJulAugSepOctNovDec",MONTH(DATE(YEAR(SprintTable[[#This Row],[Start]]),MONTH(SprintTable[[#This Row],[Start]])+1,1))*3-2,3)&amp;"-"&amp;RIGHT(YEAR(DATE(YEAR(SprintTable[[#This Row],[Start]]),MONTH(SprintTable[[#This Row],[Start]])+1,1)),2),LeaveTable[#Headers],0),0)</f>
        <v>0</v>
      </c>
      <c r="V27" s="41"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5"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3"/>
      <c r="M28" s="54" t="str">
        <f aca="false">IF(SprintTable[[#This Row],[Sprint]]="","",SUMIFS(tsk_LeafPoints,tsk_Sprint,SprintTable[[#This Row],[Sprint]]))</f>
        <v/>
      </c>
      <c r="N28" s="54" t="str">
        <f aca="false">IF(OR(SprintTable[[#This Row],[Sprint]]="",SprintTable[[#This Row],[Status]]="Future"),"",SUMIFS(tsk_LeafPoints,tsk_DoneDate,"&gt;="&amp;SprintTable[[#This Row],[Start]],tsk_DoneDate,"&lt;="&amp;SprintTable[[#This Row],[End]]))</f>
        <v/>
      </c>
      <c r="O28" s="124" t="str">
        <f aca="false">IF(OR(SprintTable[[#This Row],[Sprint]]="",SprintTable[[#This Row],[Status]]&lt;&gt;"Closed"),"",AVERAGE(INDEX(SprintTable[Done Points],MAX(1,SprintTable[[#This Row],[No]]-2)):INDEX(SprintTable[Done Points],SprintTable[[#This Row],[No]])))</f>
        <v/>
      </c>
      <c r="P28" s="54" t="str">
        <f aca="false">IF(OR(SprintTable[[#This Row],[Sprint]]="",SprintTable[[#This Row],[Status]]="Future"),"",TotalPoints-SUMIFS(tsk_LeafPoints,tsk_DoneDate,"&lt;="&amp;MIN(SprintTable[[#This Row],[End]],StatusDate)))</f>
        <v/>
      </c>
      <c r="Q28" s="54" t="str">
        <f aca="false">IF(SprintTable[[#This Row],[Sprint]]="","",TotalPoints-SUMIFS(tsk_LeafPoints,tsk_FcFinish,"&lt;="&amp;SprintTable[[#This Row],[End]]))</f>
        <v/>
      </c>
      <c r="R28" s="54"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0</v>
      </c>
      <c r="U28" s="41" t="n">
        <f aca="false">IFERROR(MATCH(MID("JanFebMarAprMayJunJulAugSepOctNovDec",MONTH(DATE(YEAR(SprintTable[[#This Row],[Start]]),MONTH(SprintTable[[#This Row],[Start]])+1,1))*3-2,3)&amp;"-"&amp;RIGHT(YEAR(DATE(YEAR(SprintTable[[#This Row],[Start]]),MONTH(SprintTable[[#This Row],[Start]])+1,1)),2),LeaveTable[#Headers],0),0)</f>
        <v>0</v>
      </c>
      <c r="V28" s="41"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5"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3"/>
      <c r="M29" s="54" t="str">
        <f aca="false">IF(SprintTable[[#This Row],[Sprint]]="","",SUMIFS(tsk_LeafPoints,tsk_Sprint,SprintTable[[#This Row],[Sprint]]))</f>
        <v/>
      </c>
      <c r="N29" s="54" t="str">
        <f aca="false">IF(OR(SprintTable[[#This Row],[Sprint]]="",SprintTable[[#This Row],[Status]]="Future"),"",SUMIFS(tsk_LeafPoints,tsk_DoneDate,"&gt;="&amp;SprintTable[[#This Row],[Start]],tsk_DoneDate,"&lt;="&amp;SprintTable[[#This Row],[End]]))</f>
        <v/>
      </c>
      <c r="O29" s="124" t="str">
        <f aca="false">IF(OR(SprintTable[[#This Row],[Sprint]]="",SprintTable[[#This Row],[Status]]&lt;&gt;"Closed"),"",AVERAGE(INDEX(SprintTable[Done Points],MAX(1,SprintTable[[#This Row],[No]]-2)):INDEX(SprintTable[Done Points],SprintTable[[#This Row],[No]])))</f>
        <v/>
      </c>
      <c r="P29" s="54" t="str">
        <f aca="false">IF(OR(SprintTable[[#This Row],[Sprint]]="",SprintTable[[#This Row],[Status]]="Future"),"",TotalPoints-SUMIFS(tsk_LeafPoints,tsk_DoneDate,"&lt;="&amp;MIN(SprintTable[[#This Row],[End]],StatusDate)))</f>
        <v/>
      </c>
      <c r="Q29" s="54" t="str">
        <f aca="false">IF(SprintTable[[#This Row],[Sprint]]="","",TotalPoints-SUMIFS(tsk_LeafPoints,tsk_FcFinish,"&lt;="&amp;SprintTable[[#This Row],[End]]))</f>
        <v/>
      </c>
      <c r="R29" s="54"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0</v>
      </c>
      <c r="U29" s="41" t="n">
        <f aca="false">IFERROR(MATCH(MID("JanFebMarAprMayJunJulAugSepOctNovDec",MONTH(DATE(YEAR(SprintTable[[#This Row],[Start]]),MONTH(SprintTable[[#This Row],[Start]])+1,1))*3-2,3)&amp;"-"&amp;RIGHT(YEAR(DATE(YEAR(SprintTable[[#This Row],[Start]]),MONTH(SprintTable[[#This Row],[Start]])+1,1)),2),LeaveTable[#Headers],0),0)</f>
        <v>0</v>
      </c>
      <c r="V29" s="41"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5"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3"/>
      <c r="M30" s="54" t="str">
        <f aca="false">IF(SprintTable[[#This Row],[Sprint]]="","",SUMIFS(tsk_LeafPoints,tsk_Sprint,SprintTable[[#This Row],[Sprint]]))</f>
        <v/>
      </c>
      <c r="N30" s="54" t="str">
        <f aca="false">IF(OR(SprintTable[[#This Row],[Sprint]]="",SprintTable[[#This Row],[Status]]="Future"),"",SUMIFS(tsk_LeafPoints,tsk_DoneDate,"&gt;="&amp;SprintTable[[#This Row],[Start]],tsk_DoneDate,"&lt;="&amp;SprintTable[[#This Row],[End]]))</f>
        <v/>
      </c>
      <c r="O30" s="124" t="str">
        <f aca="false">IF(OR(SprintTable[[#This Row],[Sprint]]="",SprintTable[[#This Row],[Status]]&lt;&gt;"Closed"),"",AVERAGE(INDEX(SprintTable[Done Points],MAX(1,SprintTable[[#This Row],[No]]-2)):INDEX(SprintTable[Done Points],SprintTable[[#This Row],[No]])))</f>
        <v/>
      </c>
      <c r="P30" s="54" t="str">
        <f aca="false">IF(OR(SprintTable[[#This Row],[Sprint]]="",SprintTable[[#This Row],[Status]]="Future"),"",TotalPoints-SUMIFS(tsk_LeafPoints,tsk_DoneDate,"&lt;="&amp;MIN(SprintTable[[#This Row],[End]],StatusDate)))</f>
        <v/>
      </c>
      <c r="Q30" s="54" t="str">
        <f aca="false">IF(SprintTable[[#This Row],[Sprint]]="","",TotalPoints-SUMIFS(tsk_LeafPoints,tsk_FcFinish,"&lt;="&amp;SprintTable[[#This Row],[End]]))</f>
        <v/>
      </c>
      <c r="R30" s="54"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0</v>
      </c>
      <c r="U30" s="41" t="n">
        <f aca="false">IFERROR(MATCH(MID("JanFebMarAprMayJunJulAugSepOctNovDec",MONTH(DATE(YEAR(SprintTable[[#This Row],[Start]]),MONTH(SprintTable[[#This Row],[Start]])+1,1))*3-2,3)&amp;"-"&amp;RIGHT(YEAR(DATE(YEAR(SprintTable[[#This Row],[Start]]),MONTH(SprintTable[[#This Row],[Start]])+1,1)),2),LeaveTable[#Headers],0),0)</f>
        <v>0</v>
      </c>
      <c r="V30" s="41"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5"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3"/>
      <c r="M31" s="54" t="str">
        <f aca="false">IF(SprintTable[[#This Row],[Sprint]]="","",SUMIFS(tsk_LeafPoints,tsk_Sprint,SprintTable[[#This Row],[Sprint]]))</f>
        <v/>
      </c>
      <c r="N31" s="54" t="str">
        <f aca="false">IF(OR(SprintTable[[#This Row],[Sprint]]="",SprintTable[[#This Row],[Status]]="Future"),"",SUMIFS(tsk_LeafPoints,tsk_DoneDate,"&gt;="&amp;SprintTable[[#This Row],[Start]],tsk_DoneDate,"&lt;="&amp;SprintTable[[#This Row],[End]]))</f>
        <v/>
      </c>
      <c r="O31" s="124" t="str">
        <f aca="false">IF(OR(SprintTable[[#This Row],[Sprint]]="",SprintTable[[#This Row],[Status]]&lt;&gt;"Closed"),"",AVERAGE(INDEX(SprintTable[Done Points],MAX(1,SprintTable[[#This Row],[No]]-2)):INDEX(SprintTable[Done Points],SprintTable[[#This Row],[No]])))</f>
        <v/>
      </c>
      <c r="P31" s="54" t="str">
        <f aca="false">IF(OR(SprintTable[[#This Row],[Sprint]]="",SprintTable[[#This Row],[Status]]="Future"),"",TotalPoints-SUMIFS(tsk_LeafPoints,tsk_DoneDate,"&lt;="&amp;MIN(SprintTable[[#This Row],[End]],StatusDate)))</f>
        <v/>
      </c>
      <c r="Q31" s="54" t="str">
        <f aca="false">IF(SprintTable[[#This Row],[Sprint]]="","",TotalPoints-SUMIFS(tsk_LeafPoints,tsk_FcFinish,"&lt;="&amp;SprintTable[[#This Row],[End]]))</f>
        <v/>
      </c>
      <c r="R31" s="54"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0</v>
      </c>
      <c r="U31" s="41" t="n">
        <f aca="false">IFERROR(MATCH(MID("JanFebMarAprMayJunJulAugSepOctNovDec",MONTH(DATE(YEAR(SprintTable[[#This Row],[Start]]),MONTH(SprintTable[[#This Row],[Start]])+1,1))*3-2,3)&amp;"-"&amp;RIGHT(YEAR(DATE(YEAR(SprintTable[[#This Row],[Start]]),MONTH(SprintTable[[#This Row],[Start]])+1,1)),2),LeaveTable[#Headers],0),0)</f>
        <v>0</v>
      </c>
      <c r="V31" s="41"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55" t="s">
        <v>632</v>
      </c>
    </row>
    <row r="34" customFormat="false" ht="15" hidden="false" customHeight="false" outlineLevel="0" collapsed="false">
      <c r="B34" s="9" t="s">
        <v>225</v>
      </c>
      <c r="C34" s="9" t="s">
        <v>231</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633</v>
      </c>
      <c r="D35" s="125" t="n">
        <f aca="false">IFERROR(IF(INDEX(spr_Name,(COLUMN()-COLUMN(load_Origin)-1))="","",INDEX(spr_Start,(COLUMN()-COLUMN(load_Origin)-1))),"")</f>
        <v>1</v>
      </c>
      <c r="E35" s="125" t="n">
        <f aca="false">IFERROR(IF(INDEX(spr_Name,(COLUMN()-COLUMN(load_Origin)-1))="","",INDEX(spr_Start,(COLUMN()-COLUMN(load_Origin)-1))),"")</f>
        <v>15</v>
      </c>
      <c r="F35" s="125" t="n">
        <f aca="false">IFERROR(IF(INDEX(spr_Name,(COLUMN()-COLUMN(load_Origin)-1))="","",INDEX(spr_Start,(COLUMN()-COLUMN(load_Origin)-1))),"")</f>
        <v>29</v>
      </c>
      <c r="G35" s="125" t="n">
        <f aca="false">IFERROR(IF(INDEX(spr_Name,(COLUMN()-COLUMN(load_Origin)-1))="","",INDEX(spr_Start,(COLUMN()-COLUMN(load_Origin)-1))),"")</f>
        <v>43</v>
      </c>
      <c r="H35" s="125" t="n">
        <f aca="false">IFERROR(IF(INDEX(spr_Name,(COLUMN()-COLUMN(load_Origin)-1))="","",INDEX(spr_Start,(COLUMN()-COLUMN(load_Origin)-1))),"")</f>
        <v>57</v>
      </c>
      <c r="I35" s="125" t="n">
        <f aca="false">IFERROR(IF(INDEX(spr_Name,(COLUMN()-COLUMN(load_Origin)-1))="","",INDEX(spr_Start,(COLUMN()-COLUMN(load_Origin)-1))),"")</f>
        <v>71</v>
      </c>
      <c r="J35" s="125" t="n">
        <f aca="false">IFERROR(IF(INDEX(spr_Name,(COLUMN()-COLUMN(load_Origin)-1))="","",INDEX(spr_Start,(COLUMN()-COLUMN(load_Origin)-1))),"")</f>
        <v>85</v>
      </c>
      <c r="K35" s="125" t="n">
        <f aca="false">IFERROR(IF(INDEX(spr_Name,(COLUMN()-COLUMN(load_Origin)-1))="","",INDEX(spr_Start,(COLUMN()-COLUMN(load_Origin)-1))),"")</f>
        <v>99</v>
      </c>
      <c r="L35" s="125" t="n">
        <f aca="false">IFERROR(IF(INDEX(spr_Name,(COLUMN()-COLUMN(load_Origin)-1))="","",INDEX(spr_Start,(COLUMN()-COLUMN(load_Origin)-1))),"")</f>
        <v>113</v>
      </c>
      <c r="M35" s="125" t="n">
        <f aca="false">IFERROR(IF(INDEX(spr_Name,(COLUMN()-COLUMN(load_Origin)-1))="","",INDEX(spr_Start,(COLUMN()-COLUMN(load_Origin)-1))),"")</f>
        <v>127</v>
      </c>
      <c r="N35" s="125" t="n">
        <f aca="false">IFERROR(IF(INDEX(spr_Name,(COLUMN()-COLUMN(load_Origin)-1))="","",INDEX(spr_Start,(COLUMN()-COLUMN(load_Origin)-1))),"")</f>
        <v>141</v>
      </c>
      <c r="O35" s="125" t="n">
        <f aca="false">IFERROR(IF(INDEX(spr_Name,(COLUMN()-COLUMN(load_Origin)-1))="","",INDEX(spr_Start,(COLUMN()-COLUMN(load_Origin)-1))),"")</f>
        <v>155</v>
      </c>
      <c r="P35" s="125" t="str">
        <f aca="false">IFERROR(IF(INDEX(spr_Name,(COLUMN()-COLUMN(load_Origin)-1))="","",INDEX(spr_Start,(COLUMN()-COLUMN(load_Origin)-1))),"")</f>
        <v/>
      </c>
      <c r="Q35" s="125" t="str">
        <f aca="false">IFERROR(IF(INDEX(spr_Name,(COLUMN()-COLUMN(load_Origin)-1))="","",INDEX(spr_Start,(COLUMN()-COLUMN(load_Origin)-1))),"")</f>
        <v/>
      </c>
      <c r="R35" s="125" t="str">
        <f aca="false">IFERROR(IF(INDEX(spr_Name,(COLUMN()-COLUMN(load_Origin)-1))="","",INDEX(spr_Start,(COLUMN()-COLUMN(load_Origin)-1))),"")</f>
        <v/>
      </c>
      <c r="S35" s="125" t="str">
        <f aca="false">IFERROR(IF(INDEX(spr_Name,(COLUMN()-COLUMN(load_Origin)-1))="","",INDEX(spr_Start,(COLUMN()-COLUMN(load_Origin)-1))),"")</f>
        <v/>
      </c>
      <c r="T35" s="125" t="str">
        <f aca="false">IFERROR(IF(INDEX(spr_Name,(COLUMN()-COLUMN(load_Origin)-1))="","",INDEX(spr_Start,(COLUMN()-COLUMN(load_Origin)-1))),"")</f>
        <v/>
      </c>
      <c r="U35" s="125" t="str">
        <f aca="false">IFERROR(IF(INDEX(spr_Name,(COLUMN()-COLUMN(load_Origin)-1))="","",INDEX(spr_Start,(COLUMN()-COLUMN(load_Origin)-1))),"")</f>
        <v/>
      </c>
      <c r="V35" s="125" t="str">
        <f aca="false">IFERROR(IF(INDEX(spr_Name,(COLUMN()-COLUMN(load_Origin)-1))="","",INDEX(spr_Start,(COLUMN()-COLUMN(load_Origin)-1))),"")</f>
        <v/>
      </c>
      <c r="W35" s="125" t="str">
        <f aca="false">IFERROR(IF(INDEX(spr_Name,(COLUMN()-COLUMN(load_Origin)-1))="","",INDEX(spr_Start,(COLUMN()-COLUMN(load_Origin)-1))),"")</f>
        <v/>
      </c>
      <c r="X35" s="125" t="str">
        <f aca="false">IFERROR(IF(INDEX(spr_Name,(COLUMN()-COLUMN(load_Origin)-1))="","",INDEX(spr_Start,(COLUMN()-COLUMN(load_Origin)-1))),"")</f>
        <v/>
      </c>
      <c r="Y35" s="125" t="str">
        <f aca="false">IFERROR(IF(INDEX(spr_Name,(COLUMN()-COLUMN(load_Origin)-1))="","",INDEX(spr_Start,(COLUMN()-COLUMN(load_Origin)-1))),"")</f>
        <v/>
      </c>
      <c r="Z35" s="125" t="str">
        <f aca="false">IFERROR(IF(INDEX(spr_Name,(COLUMN()-COLUMN(load_Origin)-1))="","",INDEX(spr_Start,(COLUMN()-COLUMN(load_Origin)-1))),"")</f>
        <v/>
      </c>
      <c r="AA35" s="125" t="str">
        <f aca="false">IFERROR(IF(INDEX(spr_Name,(COLUMN()-COLUMN(load_Origin)-1))="","",INDEX(spr_Start,(COLUMN()-COLUMN(load_Origin)-1))),"")</f>
        <v/>
      </c>
      <c r="AB35" s="125" t="str">
        <f aca="false">IFERROR(IF(INDEX(spr_Name,(COLUMN()-COLUMN(load_Origin)-1))="","",INDEX(spr_Start,(COLUMN()-COLUMN(load_Origin)-1))),"")</f>
        <v/>
      </c>
      <c r="AC35" s="125"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9" t="str">
        <f aca="false">IFERROR(IF(INDEX(res_Name,(ROW()-ROW(load_Origin)-1))="","",INDEX(res_MaxUnits,(ROW()-ROW(load_Origin)-1))),"")</f>
        <v/>
      </c>
      <c r="D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31" t="str">
        <f aca="false">IFERROR(INDEX(res_Name,(ROW()-ROW(load_Origin)-1))&amp;"","")</f>
        <v/>
      </c>
      <c r="C37" s="59" t="str">
        <f aca="false">IFERROR(IF(INDEX(res_Name,(ROW()-ROW(load_Origin)-1))="","",INDEX(res_MaxUnits,(ROW()-ROW(load_Origin)-1))),"")</f>
        <v/>
      </c>
      <c r="D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31" t="str">
        <f aca="false">IFERROR(INDEX(res_Name,(ROW()-ROW(load_Origin)-1))&amp;"","")</f>
        <v/>
      </c>
      <c r="C38" s="59" t="str">
        <f aca="false">IFERROR(IF(INDEX(res_Name,(ROW()-ROW(load_Origin)-1))="","",INDEX(res_MaxUnits,(ROW()-ROW(load_Origin)-1))),"")</f>
        <v/>
      </c>
      <c r="D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31" t="str">
        <f aca="false">IFERROR(INDEX(res_Name,(ROW()-ROW(load_Origin)-1))&amp;"","")</f>
        <v/>
      </c>
      <c r="C39" s="59" t="str">
        <f aca="false">IFERROR(IF(INDEX(res_Name,(ROW()-ROW(load_Origin)-1))="","",INDEX(res_MaxUnits,(ROW()-ROW(load_Origin)-1))),"")</f>
        <v/>
      </c>
      <c r="D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31" t="str">
        <f aca="false">IFERROR(INDEX(res_Name,(ROW()-ROW(load_Origin)-1))&amp;"","")</f>
        <v/>
      </c>
      <c r="C40" s="59" t="str">
        <f aca="false">IFERROR(IF(INDEX(res_Name,(ROW()-ROW(load_Origin)-1))="","",INDEX(res_MaxUnits,(ROW()-ROW(load_Origin)-1))),"")</f>
        <v/>
      </c>
      <c r="D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31" t="str">
        <f aca="false">IFERROR(INDEX(res_Name,(ROW()-ROW(load_Origin)-1))&amp;"","")</f>
        <v/>
      </c>
      <c r="C41" s="59" t="str">
        <f aca="false">IFERROR(IF(INDEX(res_Name,(ROW()-ROW(load_Origin)-1))="","",INDEX(res_MaxUnits,(ROW()-ROW(load_Origin)-1))),"")</f>
        <v/>
      </c>
      <c r="D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31" t="str">
        <f aca="false">IFERROR(INDEX(res_Name,(ROW()-ROW(load_Origin)-1))&amp;"","")</f>
        <v/>
      </c>
      <c r="C42" s="59" t="str">
        <f aca="false">IFERROR(IF(INDEX(res_Name,(ROW()-ROW(load_Origin)-1))="","",INDEX(res_MaxUnits,(ROW()-ROW(load_Origin)-1))),"")</f>
        <v/>
      </c>
      <c r="D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55" t="s">
        <v>634</v>
      </c>
    </row>
    <row r="64" customFormat="false" ht="15" hidden="false" customHeight="false" outlineLevel="0" collapsed="false">
      <c r="B64" s="9" t="s">
        <v>225</v>
      </c>
      <c r="C64" s="9" t="s">
        <v>231</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633</v>
      </c>
      <c r="D65" s="125" t="n">
        <f aca="false">IFERROR(IF(INDEX(spr_Name,(COLUMN()-COLUMN(util_Origin)-1))="","",INDEX(spr_Start,(COLUMN()-COLUMN(util_Origin)-1))),"")</f>
        <v>1</v>
      </c>
      <c r="E65" s="125" t="n">
        <f aca="false">IFERROR(IF(INDEX(spr_Name,(COLUMN()-COLUMN(util_Origin)-1))="","",INDEX(spr_Start,(COLUMN()-COLUMN(util_Origin)-1))),"")</f>
        <v>15</v>
      </c>
      <c r="F65" s="125" t="n">
        <f aca="false">IFERROR(IF(INDEX(spr_Name,(COLUMN()-COLUMN(util_Origin)-1))="","",INDEX(spr_Start,(COLUMN()-COLUMN(util_Origin)-1))),"")</f>
        <v>29</v>
      </c>
      <c r="G65" s="125" t="n">
        <f aca="false">IFERROR(IF(INDEX(spr_Name,(COLUMN()-COLUMN(util_Origin)-1))="","",INDEX(spr_Start,(COLUMN()-COLUMN(util_Origin)-1))),"")</f>
        <v>43</v>
      </c>
      <c r="H65" s="125" t="n">
        <f aca="false">IFERROR(IF(INDEX(spr_Name,(COLUMN()-COLUMN(util_Origin)-1))="","",INDEX(spr_Start,(COLUMN()-COLUMN(util_Origin)-1))),"")</f>
        <v>57</v>
      </c>
      <c r="I65" s="125" t="n">
        <f aca="false">IFERROR(IF(INDEX(spr_Name,(COLUMN()-COLUMN(util_Origin)-1))="","",INDEX(spr_Start,(COLUMN()-COLUMN(util_Origin)-1))),"")</f>
        <v>71</v>
      </c>
      <c r="J65" s="125" t="n">
        <f aca="false">IFERROR(IF(INDEX(spr_Name,(COLUMN()-COLUMN(util_Origin)-1))="","",INDEX(spr_Start,(COLUMN()-COLUMN(util_Origin)-1))),"")</f>
        <v>85</v>
      </c>
      <c r="K65" s="125" t="n">
        <f aca="false">IFERROR(IF(INDEX(spr_Name,(COLUMN()-COLUMN(util_Origin)-1))="","",INDEX(spr_Start,(COLUMN()-COLUMN(util_Origin)-1))),"")</f>
        <v>99</v>
      </c>
      <c r="L65" s="125" t="n">
        <f aca="false">IFERROR(IF(INDEX(spr_Name,(COLUMN()-COLUMN(util_Origin)-1))="","",INDEX(spr_Start,(COLUMN()-COLUMN(util_Origin)-1))),"")</f>
        <v>113</v>
      </c>
      <c r="M65" s="125" t="n">
        <f aca="false">IFERROR(IF(INDEX(spr_Name,(COLUMN()-COLUMN(util_Origin)-1))="","",INDEX(spr_Start,(COLUMN()-COLUMN(util_Origin)-1))),"")</f>
        <v>127</v>
      </c>
      <c r="N65" s="125" t="n">
        <f aca="false">IFERROR(IF(INDEX(spr_Name,(COLUMN()-COLUMN(util_Origin)-1))="","",INDEX(spr_Start,(COLUMN()-COLUMN(util_Origin)-1))),"")</f>
        <v>141</v>
      </c>
      <c r="O65" s="125" t="n">
        <f aca="false">IFERROR(IF(INDEX(spr_Name,(COLUMN()-COLUMN(util_Origin)-1))="","",INDEX(spr_Start,(COLUMN()-COLUMN(util_Origin)-1))),"")</f>
        <v>155</v>
      </c>
      <c r="P65" s="125" t="str">
        <f aca="false">IFERROR(IF(INDEX(spr_Name,(COLUMN()-COLUMN(util_Origin)-1))="","",INDEX(spr_Start,(COLUMN()-COLUMN(util_Origin)-1))),"")</f>
        <v/>
      </c>
      <c r="Q65" s="125" t="str">
        <f aca="false">IFERROR(IF(INDEX(spr_Name,(COLUMN()-COLUMN(util_Origin)-1))="","",INDEX(spr_Start,(COLUMN()-COLUMN(util_Origin)-1))),"")</f>
        <v/>
      </c>
      <c r="R65" s="125" t="str">
        <f aca="false">IFERROR(IF(INDEX(spr_Name,(COLUMN()-COLUMN(util_Origin)-1))="","",INDEX(spr_Start,(COLUMN()-COLUMN(util_Origin)-1))),"")</f>
        <v/>
      </c>
      <c r="S65" s="125" t="str">
        <f aca="false">IFERROR(IF(INDEX(spr_Name,(COLUMN()-COLUMN(util_Origin)-1))="","",INDEX(spr_Start,(COLUMN()-COLUMN(util_Origin)-1))),"")</f>
        <v/>
      </c>
      <c r="T65" s="125" t="str">
        <f aca="false">IFERROR(IF(INDEX(spr_Name,(COLUMN()-COLUMN(util_Origin)-1))="","",INDEX(spr_Start,(COLUMN()-COLUMN(util_Origin)-1))),"")</f>
        <v/>
      </c>
      <c r="U65" s="125" t="str">
        <f aca="false">IFERROR(IF(INDEX(spr_Name,(COLUMN()-COLUMN(util_Origin)-1))="","",INDEX(spr_Start,(COLUMN()-COLUMN(util_Origin)-1))),"")</f>
        <v/>
      </c>
      <c r="V65" s="125" t="str">
        <f aca="false">IFERROR(IF(INDEX(spr_Name,(COLUMN()-COLUMN(util_Origin)-1))="","",INDEX(spr_Start,(COLUMN()-COLUMN(util_Origin)-1))),"")</f>
        <v/>
      </c>
      <c r="W65" s="125" t="str">
        <f aca="false">IFERROR(IF(INDEX(spr_Name,(COLUMN()-COLUMN(util_Origin)-1))="","",INDEX(spr_Start,(COLUMN()-COLUMN(util_Origin)-1))),"")</f>
        <v/>
      </c>
      <c r="X65" s="125" t="str">
        <f aca="false">IFERROR(IF(INDEX(spr_Name,(COLUMN()-COLUMN(util_Origin)-1))="","",INDEX(spr_Start,(COLUMN()-COLUMN(util_Origin)-1))),"")</f>
        <v/>
      </c>
      <c r="Y65" s="125" t="str">
        <f aca="false">IFERROR(IF(INDEX(spr_Name,(COLUMN()-COLUMN(util_Origin)-1))="","",INDEX(spr_Start,(COLUMN()-COLUMN(util_Origin)-1))),"")</f>
        <v/>
      </c>
      <c r="Z65" s="125" t="str">
        <f aca="false">IFERROR(IF(INDEX(spr_Name,(COLUMN()-COLUMN(util_Origin)-1))="","",INDEX(spr_Start,(COLUMN()-COLUMN(util_Origin)-1))),"")</f>
        <v/>
      </c>
      <c r="AA65" s="125" t="str">
        <f aca="false">IFERROR(IF(INDEX(spr_Name,(COLUMN()-COLUMN(util_Origin)-1))="","",INDEX(spr_Start,(COLUMN()-COLUMN(util_Origin)-1))),"")</f>
        <v/>
      </c>
      <c r="AB65" s="125" t="str">
        <f aca="false">IFERROR(IF(INDEX(spr_Name,(COLUMN()-COLUMN(util_Origin)-1))="","",INDEX(spr_Start,(COLUMN()-COLUMN(util_Origin)-1))),"")</f>
        <v/>
      </c>
      <c r="AC65" s="125"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9" t="str">
        <f aca="false">IFERROR(IF(INDEX(res_Name,(ROW()-ROW(util_Origin)-1))="","",INDEX(res_MaxUnits,(ROW()-ROW(util_Origin)-1))),"")</f>
        <v/>
      </c>
      <c r="D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
      </c>
      <c r="C67" s="59" t="str">
        <f aca="false">IFERROR(IF(INDEX(res_Name,(ROW()-ROW(util_Origin)-1))="","",INDEX(res_MaxUnits,(ROW()-ROW(util_Origin)-1))),"")</f>
        <v/>
      </c>
      <c r="D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
      </c>
      <c r="C68" s="59" t="str">
        <f aca="false">IFERROR(IF(INDEX(res_Name,(ROW()-ROW(util_Origin)-1))="","",INDEX(res_MaxUnits,(ROW()-ROW(util_Origin)-1))),"")</f>
        <v/>
      </c>
      <c r="D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
      </c>
      <c r="C69" s="59" t="str">
        <f aca="false">IFERROR(IF(INDEX(res_Name,(ROW()-ROW(util_Origin)-1))="","",INDEX(res_MaxUnits,(ROW()-ROW(util_Origin)-1))),"")</f>
        <v/>
      </c>
      <c r="D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
      </c>
      <c r="C70" s="59" t="str">
        <f aca="false">IFERROR(IF(INDEX(res_Name,(ROW()-ROW(util_Origin)-1))="","",INDEX(res_MaxUnits,(ROW()-ROW(util_Origin)-1))),"")</f>
        <v/>
      </c>
      <c r="D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
      </c>
      <c r="C71" s="59" t="str">
        <f aca="false">IFERROR(IF(INDEX(res_Name,(ROW()-ROW(util_Origin)-1))="","",INDEX(res_MaxUnits,(ROW()-ROW(util_Origin)-1))),"")</f>
        <v/>
      </c>
      <c r="D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
      </c>
      <c r="C72" s="59" t="str">
        <f aca="false">IFERROR(IF(INDEX(res_Name,(ROW()-ROW(util_Origin)-1))="","",INDEX(res_MaxUnits,(ROW()-ROW(util_Origin)-1))),"")</f>
        <v/>
      </c>
      <c r="D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6" t="s">
        <v>635</v>
      </c>
    </row>
    <row r="95" customFormat="false" ht="15" hidden="true" customHeight="false" outlineLevel="0" collapsed="false">
      <c r="C95" s="67" t="n">
        <f aca="false">IFERROR(IF(INDEX(res_Name,(ROW()-ROW(spr_LeaveOrigin)))="",0,IFERROR(MATCH(INDEX(res_Name,(ROW()-ROW(spr_LeaveOrigin))),LeaveTable[Resource],0),0)),0)</f>
        <v>0</v>
      </c>
      <c r="D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7" t="n">
        <f aca="false">IFERROR(IF(INDEX(res_Name,(ROW()-ROW(spr_LeaveOrigin)))="",0,IFERROR(MATCH(INDEX(res_Name,(ROW()-ROW(spr_LeaveOrigin))),LeaveTable[Resource],0),0)),0)</f>
        <v>0</v>
      </c>
      <c r="D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7" t="n">
        <f aca="false">IFERROR(IF(INDEX(res_Name,(ROW()-ROW(spr_LeaveOrigin)))="",0,IFERROR(MATCH(INDEX(res_Name,(ROW()-ROW(spr_LeaveOrigin))),LeaveTable[Resource],0),0)),0)</f>
        <v>0</v>
      </c>
      <c r="D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7" t="n">
        <f aca="false">IFERROR(IF(INDEX(res_Name,(ROW()-ROW(spr_LeaveOrigin)))="",0,IFERROR(MATCH(INDEX(res_Name,(ROW()-ROW(spr_LeaveOrigin))),LeaveTable[Resource],0),0)),0)</f>
        <v>0</v>
      </c>
      <c r="D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7" t="n">
        <f aca="false">IFERROR(IF(INDEX(res_Name,(ROW()-ROW(spr_LeaveOrigin)))="",0,IFERROR(MATCH(INDEX(res_Name,(ROW()-ROW(spr_LeaveOrigin))),LeaveTable[Resource],0),0)),0)</f>
        <v>0</v>
      </c>
      <c r="D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7" t="n">
        <f aca="false">IFERROR(IF(INDEX(res_Name,(ROW()-ROW(spr_LeaveOrigin)))="",0,IFERROR(MATCH(INDEX(res_Name,(ROW()-ROW(spr_LeaveOrigin))),LeaveTable[Resource],0),0)),0)</f>
        <v>0</v>
      </c>
      <c r="D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7" t="n">
        <f aca="false">IFERROR(IF(INDEX(res_Name,(ROW()-ROW(spr_LeaveOrigin)))="",0,IFERROR(MATCH(INDEX(res_Name,(ROW()-ROW(spr_LeaveOrigin))),LeaveTable[Resource],0),0)),0)</f>
        <v>0</v>
      </c>
      <c r="D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7" t="n">
        <f aca="false">IFERROR(IF(INDEX(res_Name,(ROW()-ROW(spr_LeaveOrigin)))="",0,IFERROR(MATCH(INDEX(res_Name,(ROW()-ROW(spr_LeaveOrigin))),LeaveTable[Resource],0),0)),0)</f>
        <v>0</v>
      </c>
      <c r="D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7" t="n">
        <f aca="false">IFERROR(IF(INDEX(res_Name,(ROW()-ROW(spr_LeaveOrigin)))="",0,IFERROR(MATCH(INDEX(res_Name,(ROW()-ROW(spr_LeaveOrigin))),LeaveTable[Resource],0),0)),0)</f>
        <v>0</v>
      </c>
      <c r="D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7" t="n">
        <f aca="false">IFERROR(IF(INDEX(res_Name,(ROW()-ROW(spr_LeaveOrigin)))="",0,IFERROR(MATCH(INDEX(res_Name,(ROW()-ROW(spr_LeaveOrigin))),LeaveTable[Resource],0),0)),0)</f>
        <v>0</v>
      </c>
      <c r="D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7" t="n">
        <f aca="false">IFERROR(IF(INDEX(res_Name,(ROW()-ROW(spr_LeaveOrigin)))="",0,IFERROR(MATCH(INDEX(res_Name,(ROW()-ROW(spr_LeaveOrigin))),LeaveTable[Resource],0),0)),0)</f>
        <v>0</v>
      </c>
      <c r="D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7" t="n">
        <f aca="false">IFERROR(IF(INDEX(res_Name,(ROW()-ROW(spr_LeaveOrigin)))="",0,IFERROR(MATCH(INDEX(res_Name,(ROW()-ROW(spr_LeaveOrigin))),LeaveTable[Resource],0),0)),0)</f>
        <v>0</v>
      </c>
      <c r="D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7" t="n">
        <f aca="false">IFERROR(IF(INDEX(res_Name,(ROW()-ROW(spr_LeaveOrigin)))="",0,IFERROR(MATCH(INDEX(res_Name,(ROW()-ROW(spr_LeaveOrigin))),LeaveTable[Resource],0),0)),0)</f>
        <v>0</v>
      </c>
      <c r="D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7" t="n">
        <f aca="false">IFERROR(IF(INDEX(res_Name,(ROW()-ROW(spr_LeaveOrigin)))="",0,IFERROR(MATCH(INDEX(res_Name,(ROW()-ROW(spr_LeaveOrigin))),LeaveTable[Resource],0),0)),0)</f>
        <v>0</v>
      </c>
      <c r="D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7" t="n">
        <f aca="false">IFERROR(IF(INDEX(res_Name,(ROW()-ROW(spr_LeaveOrigin)))="",0,IFERROR(MATCH(INDEX(res_Name,(ROW()-ROW(spr_LeaveOrigin))),LeaveTable[Resource],0),0)),0)</f>
        <v>0</v>
      </c>
      <c r="D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7" t="n">
        <f aca="false">IFERROR(IF(INDEX(res_Name,(ROW()-ROW(spr_LeaveOrigin)))="",0,IFERROR(MATCH(INDEX(res_Name,(ROW()-ROW(spr_LeaveOrigin))),LeaveTable[Resource],0),0)),0)</f>
        <v>0</v>
      </c>
      <c r="D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7" t="n">
        <f aca="false">IFERROR(IF(INDEX(res_Name,(ROW()-ROW(spr_LeaveOrigin)))="",0,IFERROR(MATCH(INDEX(res_Name,(ROW()-ROW(spr_LeaveOrigin))),LeaveTable[Resource],0),0)),0)</f>
        <v>0</v>
      </c>
      <c r="D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7" t="n">
        <f aca="false">IFERROR(IF(INDEX(res_Name,(ROW()-ROW(spr_LeaveOrigin)))="",0,IFERROR(MATCH(INDEX(res_Name,(ROW()-ROW(spr_LeaveOrigin))),LeaveTable[Resource],0),0)),0)</f>
        <v>0</v>
      </c>
      <c r="D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7" t="n">
        <f aca="false">IFERROR(IF(INDEX(res_Name,(ROW()-ROW(spr_LeaveOrigin)))="",0,IFERROR(MATCH(INDEX(res_Name,(ROW()-ROW(spr_LeaveOrigin))),LeaveTable[Resource],0),0)),0)</f>
        <v>0</v>
      </c>
      <c r="D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7" t="n">
        <f aca="false">IFERROR(IF(INDEX(res_Name,(ROW()-ROW(spr_LeaveOrigin)))="",0,IFERROR(MATCH(INDEX(res_Name,(ROW()-ROW(spr_LeaveOrigin))),LeaveTable[Resource],0),0)),0)</f>
        <v>0</v>
      </c>
      <c r="D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7" t="n">
        <f aca="false">IFERROR(IF(INDEX(res_Name,(ROW()-ROW(spr_LeaveOrigin)))="",0,IFERROR(MATCH(INDEX(res_Name,(ROW()-ROW(spr_LeaveOrigin))),LeaveTable[Resource],0),0)),0)</f>
        <v>0</v>
      </c>
      <c r="D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7" t="n">
        <f aca="false">IFERROR(IF(INDEX(res_Name,(ROW()-ROW(spr_LeaveOrigin)))="",0,IFERROR(MATCH(INDEX(res_Name,(ROW()-ROW(spr_LeaveOrigin))),LeaveTable[Resource],0),0)),0)</f>
        <v>0</v>
      </c>
      <c r="D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7" t="n">
        <f aca="false">IFERROR(IF(INDEX(res_Name,(ROW()-ROW(spr_LeaveOrigin)))="",0,IFERROR(MATCH(INDEX(res_Name,(ROW()-ROW(spr_LeaveOrigin))),LeaveTable[Resource],0),0)),0)</f>
        <v>0</v>
      </c>
      <c r="D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7" t="n">
        <f aca="false">IFERROR(IF(INDEX(res_Name,(ROW()-ROW(spr_LeaveOrigin)))="",0,IFERROR(MATCH(INDEX(res_Name,(ROW()-ROW(spr_LeaveOrigin))),LeaveTable[Resource],0),0)),0)</f>
        <v>0</v>
      </c>
      <c r="D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7" t="n">
        <f aca="false">IFERROR(IF(INDEX(res_Name,(ROW()-ROW(spr_LeaveOrigin)))="",0,IFERROR(MATCH(INDEX(res_Name,(ROW()-ROW(spr_LeaveOrigin))),LeaveTable[Resource],0),0)),0)</f>
        <v>0</v>
      </c>
      <c r="D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48">
      <formula>$B6=""</formula>
    </cfRule>
    <cfRule type="expression" priority="3" aboveAverage="0" equalAverage="0" bottom="0" percent="0" rank="0" text="" dxfId="49">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636</v>
      </c>
    </row>
    <row r="2" customFormat="false" ht="15" hidden="false" customHeight="false" outlineLevel="0" collapsed="false">
      <c r="A2" s="8" t="s">
        <v>637</v>
      </c>
    </row>
    <row r="4" customFormat="false" ht="15" hidden="false" customHeight="false" outlineLevel="0" collapsed="false">
      <c r="B4" s="27" t="s">
        <v>288</v>
      </c>
      <c r="C4" s="27" t="s">
        <v>638</v>
      </c>
    </row>
    <row r="5" customFormat="false" ht="15" hidden="false" customHeight="false" outlineLevel="0" collapsed="false">
      <c r="B5" s="75"/>
      <c r="C5" s="30"/>
    </row>
    <row r="6" customFormat="false" ht="15" hidden="false" customHeight="false" outlineLevel="0" collapsed="false">
      <c r="B6" s="75"/>
      <c r="C6" s="30"/>
    </row>
    <row r="7" customFormat="false" ht="15" hidden="false" customHeight="false" outlineLevel="0" collapsed="false">
      <c r="B7" s="75"/>
      <c r="C7" s="30"/>
    </row>
    <row r="8" customFormat="false" ht="15" hidden="false" customHeight="false" outlineLevel="0" collapsed="false">
      <c r="B8" s="75"/>
      <c r="C8" s="30"/>
    </row>
    <row r="9" customFormat="false" ht="15" hidden="false" customHeight="false" outlineLevel="0" collapsed="false">
      <c r="B9" s="75"/>
      <c r="C9" s="30"/>
    </row>
    <row r="10" customFormat="false" ht="15" hidden="false" customHeight="false" outlineLevel="0" collapsed="false">
      <c r="B10" s="75"/>
      <c r="C10" s="30"/>
    </row>
    <row r="11" customFormat="false" ht="15" hidden="false" customHeight="false" outlineLevel="0" collapsed="false">
      <c r="B11" s="75"/>
      <c r="C11" s="30"/>
    </row>
    <row r="12" customFormat="false" ht="15" hidden="false" customHeight="false" outlineLevel="0" collapsed="false">
      <c r="B12" s="75"/>
      <c r="C12" s="30"/>
    </row>
    <row r="13" customFormat="false" ht="15" hidden="false" customHeight="false" outlineLevel="0" collapsed="false">
      <c r="B13" s="75"/>
      <c r="C13" s="30"/>
    </row>
    <row r="14" customFormat="false" ht="15" hidden="false" customHeight="false" outlineLevel="0" collapsed="false">
      <c r="B14" s="75"/>
      <c r="C14" s="30"/>
    </row>
    <row r="15" customFormat="false" ht="15" hidden="false" customHeight="false" outlineLevel="0" collapsed="false">
      <c r="B15" s="75"/>
      <c r="C15" s="30"/>
    </row>
    <row r="16" customFormat="false" ht="15" hidden="false" customHeight="false" outlineLevel="0" collapsed="false">
      <c r="B16" s="75"/>
      <c r="C16" s="30"/>
    </row>
    <row r="17" customFormat="false" ht="15" hidden="false" customHeight="false" outlineLevel="0" collapsed="false">
      <c r="B17" s="75"/>
      <c r="C17" s="30"/>
    </row>
    <row r="18" customFormat="false" ht="15" hidden="false" customHeight="false" outlineLevel="0" collapsed="false">
      <c r="B18" s="75"/>
      <c r="C18" s="30"/>
    </row>
    <row r="19" customFormat="false" ht="15" hidden="false" customHeight="false" outlineLevel="0" collapsed="false">
      <c r="B19" s="75"/>
      <c r="C19" s="30"/>
    </row>
    <row r="20" customFormat="false" ht="15" hidden="false" customHeight="false" outlineLevel="0" collapsed="false">
      <c r="B20" s="75"/>
      <c r="C20" s="30"/>
    </row>
    <row r="21" customFormat="false" ht="15" hidden="false" customHeight="false" outlineLevel="0" collapsed="false">
      <c r="B21" s="75"/>
      <c r="C21" s="30"/>
    </row>
    <row r="22" customFormat="false" ht="15" hidden="false" customHeight="false" outlineLevel="0" collapsed="false">
      <c r="B22" s="75"/>
      <c r="C22" s="30"/>
    </row>
    <row r="23" customFormat="false" ht="15" hidden="false" customHeight="false" outlineLevel="0" collapsed="false">
      <c r="B23" s="75"/>
      <c r="C23" s="30"/>
    </row>
    <row r="24" customFormat="false" ht="15" hidden="false" customHeight="false" outlineLevel="0" collapsed="false">
      <c r="B24" s="75"/>
      <c r="C24" s="30"/>
    </row>
    <row r="25" customFormat="false" ht="15" hidden="false" customHeight="false" outlineLevel="0" collapsed="false">
      <c r="B25" s="75"/>
      <c r="C25" s="30"/>
    </row>
    <row r="26" customFormat="false" ht="15" hidden="false" customHeight="false" outlineLevel="0" collapsed="false">
      <c r="B26" s="75"/>
      <c r="C26" s="30"/>
    </row>
    <row r="27" customFormat="false" ht="15" hidden="false" customHeight="false" outlineLevel="0" collapsed="false">
      <c r="B27" s="75"/>
      <c r="C27" s="30"/>
    </row>
    <row r="28" customFormat="false" ht="15" hidden="false" customHeight="false" outlineLevel="0" collapsed="false">
      <c r="B28" s="75"/>
      <c r="C28" s="30"/>
    </row>
    <row r="29" customFormat="false" ht="15" hidden="false" customHeight="false" outlineLevel="0" collapsed="false">
      <c r="B29" s="75"/>
      <c r="C29" s="30"/>
    </row>
    <row r="30" customFormat="false" ht="15" hidden="false" customHeight="false" outlineLevel="0" collapsed="false">
      <c r="B30" s="75"/>
      <c r="C30" s="30"/>
    </row>
    <row r="31" customFormat="false" ht="15" hidden="false" customHeight="false" outlineLevel="0" collapsed="false">
      <c r="B31" s="75"/>
      <c r="C31" s="30"/>
    </row>
    <row r="32" customFormat="false" ht="15" hidden="false" customHeight="false" outlineLevel="0" collapsed="false">
      <c r="B32" s="75"/>
      <c r="C32" s="30"/>
    </row>
    <row r="33" customFormat="false" ht="15" hidden="false" customHeight="false" outlineLevel="0" collapsed="false">
      <c r="B33" s="75"/>
      <c r="C33" s="30"/>
    </row>
    <row r="34" customFormat="false" ht="15" hidden="false" customHeight="false" outlineLevel="0" collapsed="false">
      <c r="B34" s="75"/>
      <c r="C34" s="30"/>
    </row>
    <row r="35" customFormat="false" ht="15" hidden="false" customHeight="false" outlineLevel="0" collapsed="false">
      <c r="B35" s="75"/>
      <c r="C35" s="30"/>
    </row>
    <row r="36" customFormat="false" ht="15" hidden="false" customHeight="false" outlineLevel="0" collapsed="false">
      <c r="B36" s="75"/>
      <c r="C36" s="30"/>
    </row>
    <row r="37" customFormat="false" ht="15" hidden="false" customHeight="false" outlineLevel="0" collapsed="false">
      <c r="B37" s="75"/>
      <c r="C37" s="30"/>
    </row>
    <row r="38" customFormat="false" ht="15" hidden="false" customHeight="false" outlineLevel="0" collapsed="false">
      <c r="B38" s="75"/>
      <c r="C38" s="30"/>
    </row>
    <row r="39" customFormat="false" ht="15" hidden="false" customHeight="false" outlineLevel="0" collapsed="false">
      <c r="B39" s="75"/>
      <c r="C39" s="30"/>
    </row>
    <row r="40" customFormat="false" ht="15" hidden="false" customHeight="false" outlineLevel="0" collapsed="false">
      <c r="B40" s="75"/>
      <c r="C40" s="30"/>
    </row>
    <row r="41" customFormat="false" ht="15" hidden="false" customHeight="false" outlineLevel="0" collapsed="false">
      <c r="B41" s="75"/>
      <c r="C41" s="30"/>
    </row>
    <row r="42" customFormat="false" ht="15" hidden="false" customHeight="false" outlineLevel="0" collapsed="false">
      <c r="B42" s="75"/>
      <c r="C42" s="30"/>
    </row>
    <row r="43" customFormat="false" ht="15" hidden="false" customHeight="false" outlineLevel="0" collapsed="false">
      <c r="B43" s="75"/>
      <c r="C43" s="30"/>
    </row>
    <row r="44" customFormat="false" ht="15" hidden="false" customHeight="false" outlineLevel="0" collapsed="false">
      <c r="B44" s="75"/>
      <c r="C44" s="30"/>
    </row>
    <row r="45" customFormat="false" ht="15" hidden="false" customHeight="false" outlineLevel="0" collapsed="false">
      <c r="B45" s="75"/>
      <c r="C45" s="30"/>
    </row>
    <row r="46" customFormat="false" ht="15" hidden="false" customHeight="false" outlineLevel="0" collapsed="false">
      <c r="B46" s="75"/>
      <c r="C46" s="30"/>
    </row>
    <row r="47" customFormat="false" ht="15" hidden="false" customHeight="false" outlineLevel="0" collapsed="false">
      <c r="B47" s="75"/>
      <c r="C47" s="30"/>
    </row>
    <row r="48" customFormat="false" ht="15" hidden="false" customHeight="false" outlineLevel="0" collapsed="false">
      <c r="B48" s="75"/>
      <c r="C48" s="30"/>
    </row>
    <row r="49" customFormat="false" ht="15" hidden="false" customHeight="false" outlineLevel="0" collapsed="false">
      <c r="B49" s="75"/>
      <c r="C49" s="30"/>
    </row>
    <row r="50" customFormat="false" ht="15" hidden="false" customHeight="false" outlineLevel="0" collapsed="false">
      <c r="B50" s="75"/>
      <c r="C50" s="30"/>
    </row>
    <row r="51" customFormat="false" ht="15" hidden="false" customHeight="false" outlineLevel="0" collapsed="false">
      <c r="B51" s="75"/>
      <c r="C51" s="30"/>
    </row>
    <row r="52" customFormat="false" ht="15" hidden="false" customHeight="false" outlineLevel="0" collapsed="false">
      <c r="B52" s="75"/>
      <c r="C52" s="30"/>
    </row>
    <row r="53" customFormat="false" ht="15" hidden="false" customHeight="false" outlineLevel="0" collapsed="false">
      <c r="B53" s="75"/>
      <c r="C53" s="30"/>
    </row>
    <row r="54" customFormat="false" ht="15" hidden="false" customHeight="false" outlineLevel="0" collapsed="false">
      <c r="B54" s="75"/>
      <c r="C54" s="30"/>
    </row>
    <row r="55" customFormat="false" ht="15" hidden="false" customHeight="false" outlineLevel="0" collapsed="false">
      <c r="B55" s="75"/>
      <c r="C55" s="30"/>
    </row>
    <row r="56" customFormat="false" ht="15" hidden="false" customHeight="false" outlineLevel="0" collapsed="false">
      <c r="B56" s="75"/>
      <c r="C56" s="30"/>
    </row>
    <row r="57" customFormat="false" ht="15" hidden="false" customHeight="false" outlineLevel="0" collapsed="false">
      <c r="B57" s="75"/>
      <c r="C57" s="30"/>
    </row>
    <row r="58" customFormat="false" ht="15" hidden="false" customHeight="false" outlineLevel="0" collapsed="false">
      <c r="B58" s="75"/>
      <c r="C58" s="30"/>
    </row>
    <row r="59" customFormat="false" ht="15" hidden="false" customHeight="false" outlineLevel="0" collapsed="false">
      <c r="B59" s="75"/>
      <c r="C59" s="30"/>
    </row>
    <row r="60" customFormat="false" ht="15" hidden="false" customHeight="false" outlineLevel="0" collapsed="false">
      <c r="B60" s="75"/>
      <c r="C60" s="30"/>
    </row>
    <row r="61" customFormat="false" ht="15" hidden="false" customHeight="false" outlineLevel="0" collapsed="false">
      <c r="B61" s="75"/>
      <c r="C61" s="30"/>
    </row>
    <row r="62" customFormat="false" ht="15" hidden="false" customHeight="false" outlineLevel="0" collapsed="false">
      <c r="B62" s="75"/>
      <c r="C62" s="30"/>
    </row>
    <row r="63" customFormat="false" ht="15" hidden="false" customHeight="false" outlineLevel="0" collapsed="false">
      <c r="B63" s="75"/>
      <c r="C63" s="30"/>
    </row>
    <row r="64" customFormat="false" ht="15" hidden="false" customHeight="false" outlineLevel="0" collapsed="false">
      <c r="B64" s="75"/>
      <c r="C64" s="30"/>
    </row>
    <row r="65" customFormat="false" ht="15" hidden="false" customHeight="false" outlineLevel="0" collapsed="false">
      <c r="B65" s="75"/>
      <c r="C65" s="30"/>
    </row>
    <row r="66" customFormat="false" ht="15" hidden="false" customHeight="false" outlineLevel="0" collapsed="false">
      <c r="B66" s="75"/>
      <c r="C66" s="30"/>
    </row>
    <row r="67" customFormat="false" ht="15" hidden="false" customHeight="false" outlineLevel="0" collapsed="false">
      <c r="B67" s="75"/>
      <c r="C67" s="30"/>
    </row>
    <row r="68" customFormat="false" ht="15" hidden="false" customHeight="false" outlineLevel="0" collapsed="false">
      <c r="B68" s="75"/>
      <c r="C68" s="30"/>
    </row>
    <row r="69" customFormat="false" ht="15" hidden="false" customHeight="false" outlineLevel="0" collapsed="false">
      <c r="B69" s="75"/>
      <c r="C69" s="30"/>
    </row>
    <row r="70" customFormat="false" ht="15" hidden="false" customHeight="false" outlineLevel="0" collapsed="false">
      <c r="B70" s="75"/>
      <c r="C70" s="30"/>
    </row>
    <row r="71" customFormat="false" ht="15" hidden="false" customHeight="false" outlineLevel="0" collapsed="false">
      <c r="B71" s="75"/>
      <c r="C71" s="30"/>
    </row>
    <row r="72" customFormat="false" ht="15" hidden="false" customHeight="false" outlineLevel="0" collapsed="false">
      <c r="B72" s="75"/>
      <c r="C72" s="30"/>
    </row>
    <row r="73" customFormat="false" ht="15" hidden="false" customHeight="false" outlineLevel="0" collapsed="false">
      <c r="B73" s="75"/>
      <c r="C73" s="30"/>
    </row>
    <row r="74" customFormat="false" ht="15" hidden="false" customHeight="false" outlineLevel="0" collapsed="false">
      <c r="B74" s="75"/>
      <c r="C74" s="30"/>
    </row>
    <row r="75" customFormat="false" ht="15" hidden="false" customHeight="false" outlineLevel="0" collapsed="false">
      <c r="B75" s="75"/>
      <c r="C75" s="30"/>
    </row>
    <row r="76" customFormat="false" ht="15" hidden="false" customHeight="false" outlineLevel="0" collapsed="false">
      <c r="B76" s="75"/>
      <c r="C76" s="30"/>
    </row>
    <row r="77" customFormat="false" ht="15" hidden="false" customHeight="false" outlineLevel="0" collapsed="false">
      <c r="B77" s="75"/>
      <c r="C77" s="30"/>
    </row>
    <row r="78" customFormat="false" ht="15" hidden="false" customHeight="false" outlineLevel="0" collapsed="false">
      <c r="B78" s="75"/>
      <c r="C78" s="30"/>
    </row>
    <row r="79" customFormat="false" ht="15" hidden="false" customHeight="false" outlineLevel="0" collapsed="false">
      <c r="B79" s="75"/>
      <c r="C79" s="30"/>
    </row>
    <row r="80" customFormat="false" ht="15" hidden="false" customHeight="false" outlineLevel="0" collapsed="false">
      <c r="B80" s="75"/>
      <c r="C80" s="30"/>
    </row>
    <row r="81" customFormat="false" ht="15" hidden="false" customHeight="false" outlineLevel="0" collapsed="false">
      <c r="B81" s="75"/>
      <c r="C81" s="30"/>
    </row>
    <row r="82" customFormat="false" ht="15" hidden="false" customHeight="false" outlineLevel="0" collapsed="false">
      <c r="B82" s="75"/>
      <c r="C82" s="30"/>
    </row>
    <row r="83" customFormat="false" ht="15" hidden="false" customHeight="false" outlineLevel="0" collapsed="false">
      <c r="B83" s="75"/>
      <c r="C83" s="30"/>
    </row>
    <row r="84" customFormat="false" ht="15" hidden="false" customHeight="false" outlineLevel="0" collapsed="false">
      <c r="B84" s="75"/>
      <c r="C84" s="30"/>
    </row>
    <row r="85" customFormat="false" ht="15" hidden="false" customHeight="false" outlineLevel="0" collapsed="false">
      <c r="B85" s="75"/>
      <c r="C85" s="30"/>
    </row>
    <row r="86" customFormat="false" ht="15" hidden="false" customHeight="false" outlineLevel="0" collapsed="false">
      <c r="B86" s="75"/>
      <c r="C86" s="30"/>
    </row>
    <row r="87" customFormat="false" ht="15" hidden="false" customHeight="false" outlineLevel="0" collapsed="false">
      <c r="B87" s="75"/>
      <c r="C87" s="30"/>
    </row>
    <row r="88" customFormat="false" ht="15" hidden="false" customHeight="false" outlineLevel="0" collapsed="false">
      <c r="B88" s="75"/>
      <c r="C88" s="30"/>
    </row>
    <row r="89" customFormat="false" ht="15" hidden="false" customHeight="false" outlineLevel="0" collapsed="false">
      <c r="B89" s="75"/>
      <c r="C89" s="30"/>
    </row>
    <row r="90" customFormat="false" ht="15" hidden="false" customHeight="false" outlineLevel="0" collapsed="false">
      <c r="B90" s="75"/>
      <c r="C90" s="30"/>
    </row>
    <row r="91" customFormat="false" ht="15" hidden="false" customHeight="false" outlineLevel="0" collapsed="false">
      <c r="B91" s="75"/>
      <c r="C91" s="30"/>
    </row>
    <row r="92" customFormat="false" ht="15" hidden="false" customHeight="false" outlineLevel="0" collapsed="false">
      <c r="B92" s="75"/>
      <c r="C92" s="30"/>
    </row>
    <row r="93" customFormat="false" ht="15" hidden="false" customHeight="false" outlineLevel="0" collapsed="false">
      <c r="B93" s="75"/>
      <c r="C93" s="30"/>
    </row>
    <row r="94" customFormat="false" ht="15" hidden="false" customHeight="false" outlineLevel="0" collapsed="false">
      <c r="B94" s="75"/>
      <c r="C94" s="30"/>
    </row>
    <row r="95" customFormat="false" ht="15" hidden="false" customHeight="false" outlineLevel="0" collapsed="false">
      <c r="B95" s="75"/>
      <c r="C95" s="30"/>
    </row>
    <row r="96" customFormat="false" ht="15" hidden="false" customHeight="false" outlineLevel="0" collapsed="false">
      <c r="B96" s="75"/>
      <c r="C96" s="30"/>
    </row>
    <row r="97" customFormat="false" ht="15" hidden="false" customHeight="false" outlineLevel="0" collapsed="false">
      <c r="B97" s="75"/>
      <c r="C97" s="30"/>
    </row>
    <row r="98" customFormat="false" ht="15" hidden="false" customHeight="false" outlineLevel="0" collapsed="false">
      <c r="B98" s="75"/>
      <c r="C98" s="30"/>
    </row>
    <row r="99" customFormat="false" ht="15" hidden="false" customHeight="false" outlineLevel="0" collapsed="false">
      <c r="B99" s="75"/>
      <c r="C99" s="30"/>
    </row>
    <row r="100" customFormat="false" ht="15" hidden="false" customHeight="false" outlineLevel="0" collapsed="false">
      <c r="B100" s="75"/>
      <c r="C100" s="30"/>
    </row>
    <row r="101" customFormat="false" ht="15" hidden="false" customHeight="false" outlineLevel="0" collapsed="false">
      <c r="B101" s="75"/>
      <c r="C101" s="30"/>
    </row>
    <row r="102" customFormat="false" ht="15" hidden="false" customHeight="false" outlineLevel="0" collapsed="false">
      <c r="B102" s="75"/>
      <c r="C102" s="30"/>
    </row>
    <row r="103" customFormat="false" ht="15" hidden="false" customHeight="false" outlineLevel="0" collapsed="false">
      <c r="B103" s="75"/>
      <c r="C103" s="30"/>
    </row>
    <row r="104" customFormat="false" ht="15" hidden="false" customHeight="false" outlineLevel="0" collapsed="false">
      <c r="B104" s="75"/>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639</v>
      </c>
    </row>
    <row r="4" customFormat="false" ht="15" hidden="false" customHeight="false" outlineLevel="0" collapsed="false">
      <c r="B4" s="27" t="s">
        <v>225</v>
      </c>
      <c r="C4" s="27" t="s">
        <v>640</v>
      </c>
      <c r="D4" s="27" t="s">
        <v>641</v>
      </c>
      <c r="E4" s="27" t="s">
        <v>642</v>
      </c>
      <c r="F4" s="27" t="s">
        <v>643</v>
      </c>
      <c r="G4" s="27" t="s">
        <v>644</v>
      </c>
      <c r="H4" s="27" t="s">
        <v>645</v>
      </c>
      <c r="I4" s="27" t="s">
        <v>646</v>
      </c>
      <c r="J4" s="27" t="s">
        <v>647</v>
      </c>
      <c r="K4" s="27" t="s">
        <v>648</v>
      </c>
      <c r="L4" s="27" t="s">
        <v>649</v>
      </c>
      <c r="M4" s="27" t="s">
        <v>650</v>
      </c>
      <c r="N4" s="27" t="s">
        <v>651</v>
      </c>
      <c r="O4" s="27" t="s">
        <v>652</v>
      </c>
      <c r="P4" s="27" t="s">
        <v>653</v>
      </c>
      <c r="Q4" s="27" t="s">
        <v>654</v>
      </c>
      <c r="R4" s="27" t="s">
        <v>655</v>
      </c>
      <c r="S4" s="27" t="s">
        <v>656</v>
      </c>
      <c r="T4" s="27" t="s">
        <v>657</v>
      </c>
      <c r="U4" s="27" t="s">
        <v>658</v>
      </c>
      <c r="V4" s="27" t="s">
        <v>659</v>
      </c>
      <c r="W4" s="27" t="s">
        <v>660</v>
      </c>
      <c r="X4" s="27" t="s">
        <v>661</v>
      </c>
      <c r="Y4" s="27" t="s">
        <v>662</v>
      </c>
      <c r="Z4" s="27" t="s">
        <v>663</v>
      </c>
      <c r="AA4" s="27" t="s">
        <v>664</v>
      </c>
      <c r="AB4" s="27" t="s">
        <v>665</v>
      </c>
      <c r="AC4" s="27" t="s">
        <v>666</v>
      </c>
      <c r="AD4" s="27" t="s">
        <v>667</v>
      </c>
      <c r="AE4" s="27" t="s">
        <v>668</v>
      </c>
      <c r="AF4" s="27" t="s">
        <v>669</v>
      </c>
      <c r="AG4" s="27" t="s">
        <v>670</v>
      </c>
      <c r="AH4" s="27" t="s">
        <v>671</v>
      </c>
      <c r="AI4" s="27" t="s">
        <v>672</v>
      </c>
      <c r="AJ4" s="27" t="s">
        <v>673</v>
      </c>
      <c r="AK4" s="27" t="s">
        <v>674</v>
      </c>
      <c r="AL4" s="27" t="s">
        <v>675</v>
      </c>
    </row>
    <row r="5" customFormat="false" ht="15" hidden="false" customHeight="false" outlineLevel="0" collapsed="false">
      <c r="B5" s="30"/>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449</v>
      </c>
      <c r="B1" s="9" t="s">
        <v>676</v>
      </c>
      <c r="C1" s="9" t="s">
        <v>677</v>
      </c>
      <c r="D1" s="9" t="s">
        <v>678</v>
      </c>
      <c r="E1" s="9" t="s">
        <v>679</v>
      </c>
      <c r="F1" s="9" t="s">
        <v>228</v>
      </c>
      <c r="G1" s="9" t="s">
        <v>615</v>
      </c>
      <c r="H1" s="9" t="s">
        <v>680</v>
      </c>
      <c r="I1" s="9" t="s">
        <v>55</v>
      </c>
      <c r="J1" s="9" t="s">
        <v>681</v>
      </c>
      <c r="K1" s="9" t="s">
        <v>476</v>
      </c>
      <c r="L1" s="9" t="s">
        <v>474</v>
      </c>
      <c r="M1" s="9" t="s">
        <v>468</v>
      </c>
      <c r="N1" s="9" t="s">
        <v>469</v>
      </c>
      <c r="O1" s="9" t="s">
        <v>485</v>
      </c>
      <c r="P1" s="9" t="s">
        <v>486</v>
      </c>
      <c r="Q1" s="9" t="s">
        <v>487</v>
      </c>
      <c r="R1" s="9" t="s">
        <v>488</v>
      </c>
      <c r="S1" s="9" t="s">
        <v>489</v>
      </c>
      <c r="T1" s="9" t="s">
        <v>237</v>
      </c>
      <c r="U1" s="9" t="s">
        <v>682</v>
      </c>
      <c r="V1" s="9" t="s">
        <v>466</v>
      </c>
      <c r="W1" s="9" t="s">
        <v>223</v>
      </c>
      <c r="X1" s="9" t="s">
        <v>683</v>
      </c>
      <c r="Y1" s="9" t="s">
        <v>684</v>
      </c>
      <c r="Z1" s="9" t="s">
        <v>200</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6" t="str">
        <f aca="false">IF(IFERROR(INDEX(tsk_Name,(ROW()-ROW(MSPTasks[[#Headers],[ID]])))="",TRUE()),"",INDEX(tsk_FcStart,(ROW()-ROW(MSPTasks[[#Headers],[ID]]))))</f>
        <v/>
      </c>
      <c r="H2" s="126"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IF(IFERROR(INDEX(tsk_Name,(ROW()-ROW(MSPTasks[[#Headers],[ID]])))="",TRUE()),"",INDEX(tsk_ResourceNames,(ROW()-ROW(MSPTasks[[#Headers],[ID]])))&amp;"")</f>
        <v/>
      </c>
      <c r="L2" s="24" t="str">
        <f aca="false">IF(IFERROR(INDEX(tsk_Name,(ROW()-ROW(MSPTasks[[#Headers],[ID]])))="",TRUE()),"",IF(INDEX(tsk_IsSummary,(ROW()-ROW(MSPTasks[[#Headers],[ID]]))),"",ROUND(INDEX(tsk_Progress,(ROW()-ROW(MSPTasks[[#Headers],[ID]])))*100,0)))</f>
        <v/>
      </c>
      <c r="M2" s="126" t="str">
        <f aca="false">IF(IFERROR(INDEX(tsk_Name,(ROW()-ROW(MSPTasks[[#Headers],[ID]])))="",TRUE()),"",IF(N(INDEX(tsk_ActStart,(ROW()-ROW(MSPTasks[[#Headers],[ID]]))))=0,"",INDEX(tsk_ActStart,(ROW()-ROW(MSPTasks[[#Headers],[ID]])))))</f>
        <v/>
      </c>
      <c r="N2" s="126" t="str">
        <f aca="false">IF(IFERROR(INDEX(tsk_Name,(ROW()-ROW(MSPTasks[[#Headers],[ID]])))="",TRUE()),"",IF(N(INDEX(tsk_ActFinish,(ROW()-ROW(MSPTasks[[#Headers],[ID]]))))=0,"",INDEX(tsk_ActFinish,(ROW()-ROW(MSPTasks[[#Headers],[ID]])))))</f>
        <v/>
      </c>
      <c r="O2" s="126" t="str">
        <f aca="false">IF(IFERROR(INDEX(tsk_Name,(ROW()-ROW(MSPTasks[[#Headers],[ID]])))="",TRUE()),"",INDEX(tsk_PlanStart,(ROW()-ROW(MSPTasks[[#Headers],[ID]]))))</f>
        <v/>
      </c>
      <c r="P2" s="126"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 s="126" t="str">
        <f aca="false">IF(IFERROR(INDEX(tsk_Name,(ROW()-ROW(MSPTasks[[#Headers],[ID]])))="",TRUE()),"",IF(OR(INDEX(tsk_IsSummary,(ROW()-ROW(MSPTasks[[#Headers],[ID]]))),INDEX(tsk_Mode,(ROW()-ROW(MSPTasks[[#Headers],[ID]])))="Manual"),"",IF(N(INDEX(tsk_ConstraintCode,(ROW()-ROW(MSPTasks[[#Headers],[ID]]))))&lt;2,"",INDEX(tsk_Constraint,(ROW()-ROW(MSPTasks[[#Headers],[ID]]))))))</f>
        <v/>
      </c>
      <c r="W2" s="126"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6" t="str">
        <f aca="false">IF(IFERROR(INDEX(tsk_Name,(ROW()-ROW(MSPTasks[[#Headers],[ID]])))="",TRUE()),"",INDEX(tsk_FcStart,(ROW()-ROW(MSPTasks[[#Headers],[ID]]))))</f>
        <v/>
      </c>
      <c r="H3" s="126"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IF(IFERROR(INDEX(tsk_Name,(ROW()-ROW(MSPTasks[[#Headers],[ID]])))="",TRUE()),"",INDEX(tsk_ResourceNames,(ROW()-ROW(MSPTasks[[#Headers],[ID]])))&amp;"")</f>
        <v/>
      </c>
      <c r="L3" s="24" t="str">
        <f aca="false">IF(IFERROR(INDEX(tsk_Name,(ROW()-ROW(MSPTasks[[#Headers],[ID]])))="",TRUE()),"",IF(INDEX(tsk_IsSummary,(ROW()-ROW(MSPTasks[[#Headers],[ID]]))),"",ROUND(INDEX(tsk_Progress,(ROW()-ROW(MSPTasks[[#Headers],[ID]])))*100,0)))</f>
        <v/>
      </c>
      <c r="M3" s="126" t="str">
        <f aca="false">IF(IFERROR(INDEX(tsk_Name,(ROW()-ROW(MSPTasks[[#Headers],[ID]])))="",TRUE()),"",IF(N(INDEX(tsk_ActStart,(ROW()-ROW(MSPTasks[[#Headers],[ID]]))))=0,"",INDEX(tsk_ActStart,(ROW()-ROW(MSPTasks[[#Headers],[ID]])))))</f>
        <v/>
      </c>
      <c r="N3" s="126" t="str">
        <f aca="false">IF(IFERROR(INDEX(tsk_Name,(ROW()-ROW(MSPTasks[[#Headers],[ID]])))="",TRUE()),"",IF(N(INDEX(tsk_ActFinish,(ROW()-ROW(MSPTasks[[#Headers],[ID]]))))=0,"",INDEX(tsk_ActFinish,(ROW()-ROW(MSPTasks[[#Headers],[ID]])))))</f>
        <v/>
      </c>
      <c r="O3" s="126" t="str">
        <f aca="false">IF(IFERROR(INDEX(tsk_Name,(ROW()-ROW(MSPTasks[[#Headers],[ID]])))="",TRUE()),"",INDEX(tsk_PlanStart,(ROW()-ROW(MSPTasks[[#Headers],[ID]]))))</f>
        <v/>
      </c>
      <c r="P3" s="126"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 s="126" t="str">
        <f aca="false">IF(IFERROR(INDEX(tsk_Name,(ROW()-ROW(MSPTasks[[#Headers],[ID]])))="",TRUE()),"",IF(OR(INDEX(tsk_IsSummary,(ROW()-ROW(MSPTasks[[#Headers],[ID]]))),INDEX(tsk_Mode,(ROW()-ROW(MSPTasks[[#Headers],[ID]])))="Manual"),"",IF(N(INDEX(tsk_ConstraintCode,(ROW()-ROW(MSPTasks[[#Headers],[ID]]))))&lt;2,"",INDEX(tsk_Constraint,(ROW()-ROW(MSPTasks[[#Headers],[ID]]))))))</f>
        <v/>
      </c>
      <c r="W3" s="126"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6" t="str">
        <f aca="false">IF(IFERROR(INDEX(tsk_Name,(ROW()-ROW(MSPTasks[[#Headers],[ID]])))="",TRUE()),"",INDEX(tsk_FcStart,(ROW()-ROW(MSPTasks[[#Headers],[ID]]))))</f>
        <v/>
      </c>
      <c r="H4" s="126"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IF(IFERROR(INDEX(tsk_Name,(ROW()-ROW(MSPTasks[[#Headers],[ID]])))="",TRUE()),"",INDEX(tsk_ResourceNames,(ROW()-ROW(MSPTasks[[#Headers],[ID]])))&amp;"")</f>
        <v/>
      </c>
      <c r="L4" s="24" t="str">
        <f aca="false">IF(IFERROR(INDEX(tsk_Name,(ROW()-ROW(MSPTasks[[#Headers],[ID]])))="",TRUE()),"",IF(INDEX(tsk_IsSummary,(ROW()-ROW(MSPTasks[[#Headers],[ID]]))),"",ROUND(INDEX(tsk_Progress,(ROW()-ROW(MSPTasks[[#Headers],[ID]])))*100,0)))</f>
        <v/>
      </c>
      <c r="M4" s="126" t="str">
        <f aca="false">IF(IFERROR(INDEX(tsk_Name,(ROW()-ROW(MSPTasks[[#Headers],[ID]])))="",TRUE()),"",IF(N(INDEX(tsk_ActStart,(ROW()-ROW(MSPTasks[[#Headers],[ID]]))))=0,"",INDEX(tsk_ActStart,(ROW()-ROW(MSPTasks[[#Headers],[ID]])))))</f>
        <v/>
      </c>
      <c r="N4" s="126" t="str">
        <f aca="false">IF(IFERROR(INDEX(tsk_Name,(ROW()-ROW(MSPTasks[[#Headers],[ID]])))="",TRUE()),"",IF(N(INDEX(tsk_ActFinish,(ROW()-ROW(MSPTasks[[#Headers],[ID]]))))=0,"",INDEX(tsk_ActFinish,(ROW()-ROW(MSPTasks[[#Headers],[ID]])))))</f>
        <v/>
      </c>
      <c r="O4" s="126" t="str">
        <f aca="false">IF(IFERROR(INDEX(tsk_Name,(ROW()-ROW(MSPTasks[[#Headers],[ID]])))="",TRUE()),"",INDEX(tsk_PlanStart,(ROW()-ROW(MSPTasks[[#Headers],[ID]]))))</f>
        <v/>
      </c>
      <c r="P4" s="126"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 s="126" t="str">
        <f aca="false">IF(IFERROR(INDEX(tsk_Name,(ROW()-ROW(MSPTasks[[#Headers],[ID]])))="",TRUE()),"",IF(OR(INDEX(tsk_IsSummary,(ROW()-ROW(MSPTasks[[#Headers],[ID]]))),INDEX(tsk_Mode,(ROW()-ROW(MSPTasks[[#Headers],[ID]])))="Manual"),"",IF(N(INDEX(tsk_ConstraintCode,(ROW()-ROW(MSPTasks[[#Headers],[ID]]))))&lt;2,"",INDEX(tsk_Constraint,(ROW()-ROW(MSPTasks[[#Headers],[ID]]))))))</f>
        <v/>
      </c>
      <c r="W4" s="126"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6" t="str">
        <f aca="false">IF(IFERROR(INDEX(tsk_Name,(ROW()-ROW(MSPTasks[[#Headers],[ID]])))="",TRUE()),"",INDEX(tsk_FcStart,(ROW()-ROW(MSPTasks[[#Headers],[ID]]))))</f>
        <v/>
      </c>
      <c r="H5" s="126"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IF(IFERROR(INDEX(tsk_Name,(ROW()-ROW(MSPTasks[[#Headers],[ID]])))="",TRUE()),"",INDEX(tsk_ResourceNames,(ROW()-ROW(MSPTasks[[#Headers],[ID]])))&amp;"")</f>
        <v/>
      </c>
      <c r="L5" s="24" t="str">
        <f aca="false">IF(IFERROR(INDEX(tsk_Name,(ROW()-ROW(MSPTasks[[#Headers],[ID]])))="",TRUE()),"",IF(INDEX(tsk_IsSummary,(ROW()-ROW(MSPTasks[[#Headers],[ID]]))),"",ROUND(INDEX(tsk_Progress,(ROW()-ROW(MSPTasks[[#Headers],[ID]])))*100,0)))</f>
        <v/>
      </c>
      <c r="M5" s="126" t="str">
        <f aca="false">IF(IFERROR(INDEX(tsk_Name,(ROW()-ROW(MSPTasks[[#Headers],[ID]])))="",TRUE()),"",IF(N(INDEX(tsk_ActStart,(ROW()-ROW(MSPTasks[[#Headers],[ID]]))))=0,"",INDEX(tsk_ActStart,(ROW()-ROW(MSPTasks[[#Headers],[ID]])))))</f>
        <v/>
      </c>
      <c r="N5" s="126" t="str">
        <f aca="false">IF(IFERROR(INDEX(tsk_Name,(ROW()-ROW(MSPTasks[[#Headers],[ID]])))="",TRUE()),"",IF(N(INDEX(tsk_ActFinish,(ROW()-ROW(MSPTasks[[#Headers],[ID]]))))=0,"",INDEX(tsk_ActFinish,(ROW()-ROW(MSPTasks[[#Headers],[ID]])))))</f>
        <v/>
      </c>
      <c r="O5" s="126" t="str">
        <f aca="false">IF(IFERROR(INDEX(tsk_Name,(ROW()-ROW(MSPTasks[[#Headers],[ID]])))="",TRUE()),"",INDEX(tsk_PlanStart,(ROW()-ROW(MSPTasks[[#Headers],[ID]]))))</f>
        <v/>
      </c>
      <c r="P5" s="126"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 s="126" t="str">
        <f aca="false">IF(IFERROR(INDEX(tsk_Name,(ROW()-ROW(MSPTasks[[#Headers],[ID]])))="",TRUE()),"",IF(OR(INDEX(tsk_IsSummary,(ROW()-ROW(MSPTasks[[#Headers],[ID]]))),INDEX(tsk_Mode,(ROW()-ROW(MSPTasks[[#Headers],[ID]])))="Manual"),"",IF(N(INDEX(tsk_ConstraintCode,(ROW()-ROW(MSPTasks[[#Headers],[ID]]))))&lt;2,"",INDEX(tsk_Constraint,(ROW()-ROW(MSPTasks[[#Headers],[ID]]))))))</f>
        <v/>
      </c>
      <c r="W5" s="126"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6" t="str">
        <f aca="false">IF(IFERROR(INDEX(tsk_Name,(ROW()-ROW(MSPTasks[[#Headers],[ID]])))="",TRUE()),"",INDEX(tsk_FcStart,(ROW()-ROW(MSPTasks[[#Headers],[ID]]))))</f>
        <v/>
      </c>
      <c r="H6" s="126"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IF(IFERROR(INDEX(tsk_Name,(ROW()-ROW(MSPTasks[[#Headers],[ID]])))="",TRUE()),"",INDEX(tsk_ResourceNames,(ROW()-ROW(MSPTasks[[#Headers],[ID]])))&amp;"")</f>
        <v/>
      </c>
      <c r="L6" s="24" t="str">
        <f aca="false">IF(IFERROR(INDEX(tsk_Name,(ROW()-ROW(MSPTasks[[#Headers],[ID]])))="",TRUE()),"",IF(INDEX(tsk_IsSummary,(ROW()-ROW(MSPTasks[[#Headers],[ID]]))),"",ROUND(INDEX(tsk_Progress,(ROW()-ROW(MSPTasks[[#Headers],[ID]])))*100,0)))</f>
        <v/>
      </c>
      <c r="M6" s="126" t="str">
        <f aca="false">IF(IFERROR(INDEX(tsk_Name,(ROW()-ROW(MSPTasks[[#Headers],[ID]])))="",TRUE()),"",IF(N(INDEX(tsk_ActStart,(ROW()-ROW(MSPTasks[[#Headers],[ID]]))))=0,"",INDEX(tsk_ActStart,(ROW()-ROW(MSPTasks[[#Headers],[ID]])))))</f>
        <v/>
      </c>
      <c r="N6" s="126" t="str">
        <f aca="false">IF(IFERROR(INDEX(tsk_Name,(ROW()-ROW(MSPTasks[[#Headers],[ID]])))="",TRUE()),"",IF(N(INDEX(tsk_ActFinish,(ROW()-ROW(MSPTasks[[#Headers],[ID]]))))=0,"",INDEX(tsk_ActFinish,(ROW()-ROW(MSPTasks[[#Headers],[ID]])))))</f>
        <v/>
      </c>
      <c r="O6" s="126" t="str">
        <f aca="false">IF(IFERROR(INDEX(tsk_Name,(ROW()-ROW(MSPTasks[[#Headers],[ID]])))="",TRUE()),"",INDEX(tsk_PlanStart,(ROW()-ROW(MSPTasks[[#Headers],[ID]]))))</f>
        <v/>
      </c>
      <c r="P6" s="126"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 s="126" t="str">
        <f aca="false">IF(IFERROR(INDEX(tsk_Name,(ROW()-ROW(MSPTasks[[#Headers],[ID]])))="",TRUE()),"",IF(OR(INDEX(tsk_IsSummary,(ROW()-ROW(MSPTasks[[#Headers],[ID]]))),INDEX(tsk_Mode,(ROW()-ROW(MSPTasks[[#Headers],[ID]])))="Manual"),"",IF(N(INDEX(tsk_ConstraintCode,(ROW()-ROW(MSPTasks[[#Headers],[ID]]))))&lt;2,"",INDEX(tsk_Constraint,(ROW()-ROW(MSPTasks[[#Headers],[ID]]))))))</f>
        <v/>
      </c>
      <c r="W6" s="126"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6" t="str">
        <f aca="false">IF(IFERROR(INDEX(tsk_Name,(ROW()-ROW(MSPTasks[[#Headers],[ID]])))="",TRUE()),"",INDEX(tsk_FcStart,(ROW()-ROW(MSPTasks[[#Headers],[ID]]))))</f>
        <v/>
      </c>
      <c r="H7" s="126"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IF(IFERROR(INDEX(tsk_Name,(ROW()-ROW(MSPTasks[[#Headers],[ID]])))="",TRUE()),"",INDEX(tsk_ResourceNames,(ROW()-ROW(MSPTasks[[#Headers],[ID]])))&amp;"")</f>
        <v/>
      </c>
      <c r="L7" s="24" t="str">
        <f aca="false">IF(IFERROR(INDEX(tsk_Name,(ROW()-ROW(MSPTasks[[#Headers],[ID]])))="",TRUE()),"",IF(INDEX(tsk_IsSummary,(ROW()-ROW(MSPTasks[[#Headers],[ID]]))),"",ROUND(INDEX(tsk_Progress,(ROW()-ROW(MSPTasks[[#Headers],[ID]])))*100,0)))</f>
        <v/>
      </c>
      <c r="M7" s="126" t="str">
        <f aca="false">IF(IFERROR(INDEX(tsk_Name,(ROW()-ROW(MSPTasks[[#Headers],[ID]])))="",TRUE()),"",IF(N(INDEX(tsk_ActStart,(ROW()-ROW(MSPTasks[[#Headers],[ID]]))))=0,"",INDEX(tsk_ActStart,(ROW()-ROW(MSPTasks[[#Headers],[ID]])))))</f>
        <v/>
      </c>
      <c r="N7" s="126" t="str">
        <f aca="false">IF(IFERROR(INDEX(tsk_Name,(ROW()-ROW(MSPTasks[[#Headers],[ID]])))="",TRUE()),"",IF(N(INDEX(tsk_ActFinish,(ROW()-ROW(MSPTasks[[#Headers],[ID]]))))=0,"",INDEX(tsk_ActFinish,(ROW()-ROW(MSPTasks[[#Headers],[ID]])))))</f>
        <v/>
      </c>
      <c r="O7" s="126" t="str">
        <f aca="false">IF(IFERROR(INDEX(tsk_Name,(ROW()-ROW(MSPTasks[[#Headers],[ID]])))="",TRUE()),"",INDEX(tsk_PlanStart,(ROW()-ROW(MSPTasks[[#Headers],[ID]]))))</f>
        <v/>
      </c>
      <c r="P7" s="126"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 s="126" t="str">
        <f aca="false">IF(IFERROR(INDEX(tsk_Name,(ROW()-ROW(MSPTasks[[#Headers],[ID]])))="",TRUE()),"",IF(OR(INDEX(tsk_IsSummary,(ROW()-ROW(MSPTasks[[#Headers],[ID]]))),INDEX(tsk_Mode,(ROW()-ROW(MSPTasks[[#Headers],[ID]])))="Manual"),"",IF(N(INDEX(tsk_ConstraintCode,(ROW()-ROW(MSPTasks[[#Headers],[ID]]))))&lt;2,"",INDEX(tsk_Constraint,(ROW()-ROW(MSPTasks[[#Headers],[ID]]))))))</f>
        <v/>
      </c>
      <c r="W7" s="126"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6" t="str">
        <f aca="false">IF(IFERROR(INDEX(tsk_Name,(ROW()-ROW(MSPTasks[[#Headers],[ID]])))="",TRUE()),"",INDEX(tsk_FcStart,(ROW()-ROW(MSPTasks[[#Headers],[ID]]))))</f>
        <v/>
      </c>
      <c r="H8" s="126"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IF(IFERROR(INDEX(tsk_Name,(ROW()-ROW(MSPTasks[[#Headers],[ID]])))="",TRUE()),"",INDEX(tsk_ResourceNames,(ROW()-ROW(MSPTasks[[#Headers],[ID]])))&amp;"")</f>
        <v/>
      </c>
      <c r="L8" s="24" t="str">
        <f aca="false">IF(IFERROR(INDEX(tsk_Name,(ROW()-ROW(MSPTasks[[#Headers],[ID]])))="",TRUE()),"",IF(INDEX(tsk_IsSummary,(ROW()-ROW(MSPTasks[[#Headers],[ID]]))),"",ROUND(INDEX(tsk_Progress,(ROW()-ROW(MSPTasks[[#Headers],[ID]])))*100,0)))</f>
        <v/>
      </c>
      <c r="M8" s="126" t="str">
        <f aca="false">IF(IFERROR(INDEX(tsk_Name,(ROW()-ROW(MSPTasks[[#Headers],[ID]])))="",TRUE()),"",IF(N(INDEX(tsk_ActStart,(ROW()-ROW(MSPTasks[[#Headers],[ID]]))))=0,"",INDEX(tsk_ActStart,(ROW()-ROW(MSPTasks[[#Headers],[ID]])))))</f>
        <v/>
      </c>
      <c r="N8" s="126" t="str">
        <f aca="false">IF(IFERROR(INDEX(tsk_Name,(ROW()-ROW(MSPTasks[[#Headers],[ID]])))="",TRUE()),"",IF(N(INDEX(tsk_ActFinish,(ROW()-ROW(MSPTasks[[#Headers],[ID]]))))=0,"",INDEX(tsk_ActFinish,(ROW()-ROW(MSPTasks[[#Headers],[ID]])))))</f>
        <v/>
      </c>
      <c r="O8" s="126" t="str">
        <f aca="false">IF(IFERROR(INDEX(tsk_Name,(ROW()-ROW(MSPTasks[[#Headers],[ID]])))="",TRUE()),"",INDEX(tsk_PlanStart,(ROW()-ROW(MSPTasks[[#Headers],[ID]]))))</f>
        <v/>
      </c>
      <c r="P8" s="126"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 s="126" t="str">
        <f aca="false">IF(IFERROR(INDEX(tsk_Name,(ROW()-ROW(MSPTasks[[#Headers],[ID]])))="",TRUE()),"",IF(OR(INDEX(tsk_IsSummary,(ROW()-ROW(MSPTasks[[#Headers],[ID]]))),INDEX(tsk_Mode,(ROW()-ROW(MSPTasks[[#Headers],[ID]])))="Manual"),"",IF(N(INDEX(tsk_ConstraintCode,(ROW()-ROW(MSPTasks[[#Headers],[ID]]))))&lt;2,"",INDEX(tsk_Constraint,(ROW()-ROW(MSPTasks[[#Headers],[ID]]))))))</f>
        <v/>
      </c>
      <c r="W8" s="126"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6" t="str">
        <f aca="false">IF(IFERROR(INDEX(tsk_Name,(ROW()-ROW(MSPTasks[[#Headers],[ID]])))="",TRUE()),"",INDEX(tsk_FcStart,(ROW()-ROW(MSPTasks[[#Headers],[ID]]))))</f>
        <v/>
      </c>
      <c r="H9" s="126"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IF(IFERROR(INDEX(tsk_Name,(ROW()-ROW(MSPTasks[[#Headers],[ID]])))="",TRUE()),"",INDEX(tsk_ResourceNames,(ROW()-ROW(MSPTasks[[#Headers],[ID]])))&amp;"")</f>
        <v/>
      </c>
      <c r="L9" s="24" t="str">
        <f aca="false">IF(IFERROR(INDEX(tsk_Name,(ROW()-ROW(MSPTasks[[#Headers],[ID]])))="",TRUE()),"",IF(INDEX(tsk_IsSummary,(ROW()-ROW(MSPTasks[[#Headers],[ID]]))),"",ROUND(INDEX(tsk_Progress,(ROW()-ROW(MSPTasks[[#Headers],[ID]])))*100,0)))</f>
        <v/>
      </c>
      <c r="M9" s="126" t="str">
        <f aca="false">IF(IFERROR(INDEX(tsk_Name,(ROW()-ROW(MSPTasks[[#Headers],[ID]])))="",TRUE()),"",IF(N(INDEX(tsk_ActStart,(ROW()-ROW(MSPTasks[[#Headers],[ID]]))))=0,"",INDEX(tsk_ActStart,(ROW()-ROW(MSPTasks[[#Headers],[ID]])))))</f>
        <v/>
      </c>
      <c r="N9" s="126" t="str">
        <f aca="false">IF(IFERROR(INDEX(tsk_Name,(ROW()-ROW(MSPTasks[[#Headers],[ID]])))="",TRUE()),"",IF(N(INDEX(tsk_ActFinish,(ROW()-ROW(MSPTasks[[#Headers],[ID]]))))=0,"",INDEX(tsk_ActFinish,(ROW()-ROW(MSPTasks[[#Headers],[ID]])))))</f>
        <v/>
      </c>
      <c r="O9" s="126" t="str">
        <f aca="false">IF(IFERROR(INDEX(tsk_Name,(ROW()-ROW(MSPTasks[[#Headers],[ID]])))="",TRUE()),"",INDEX(tsk_PlanStart,(ROW()-ROW(MSPTasks[[#Headers],[ID]]))))</f>
        <v/>
      </c>
      <c r="P9" s="126"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 s="126" t="str">
        <f aca="false">IF(IFERROR(INDEX(tsk_Name,(ROW()-ROW(MSPTasks[[#Headers],[ID]])))="",TRUE()),"",IF(OR(INDEX(tsk_IsSummary,(ROW()-ROW(MSPTasks[[#Headers],[ID]]))),INDEX(tsk_Mode,(ROW()-ROW(MSPTasks[[#Headers],[ID]])))="Manual"),"",IF(N(INDEX(tsk_ConstraintCode,(ROW()-ROW(MSPTasks[[#Headers],[ID]]))))&lt;2,"",INDEX(tsk_Constraint,(ROW()-ROW(MSPTasks[[#Headers],[ID]]))))))</f>
        <v/>
      </c>
      <c r="W9" s="126"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6" t="str">
        <f aca="false">IF(IFERROR(INDEX(tsk_Name,(ROW()-ROW(MSPTasks[[#Headers],[ID]])))="",TRUE()),"",INDEX(tsk_FcStart,(ROW()-ROW(MSPTasks[[#Headers],[ID]]))))</f>
        <v/>
      </c>
      <c r="H10" s="126"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IF(IFERROR(INDEX(tsk_Name,(ROW()-ROW(MSPTasks[[#Headers],[ID]])))="",TRUE()),"",INDEX(tsk_ResourceNames,(ROW()-ROW(MSPTasks[[#Headers],[ID]])))&amp;"")</f>
        <v/>
      </c>
      <c r="L10" s="24" t="str">
        <f aca="false">IF(IFERROR(INDEX(tsk_Name,(ROW()-ROW(MSPTasks[[#Headers],[ID]])))="",TRUE()),"",IF(INDEX(tsk_IsSummary,(ROW()-ROW(MSPTasks[[#Headers],[ID]]))),"",ROUND(INDEX(tsk_Progress,(ROW()-ROW(MSPTasks[[#Headers],[ID]])))*100,0)))</f>
        <v/>
      </c>
      <c r="M10" s="126" t="str">
        <f aca="false">IF(IFERROR(INDEX(tsk_Name,(ROW()-ROW(MSPTasks[[#Headers],[ID]])))="",TRUE()),"",IF(N(INDEX(tsk_ActStart,(ROW()-ROW(MSPTasks[[#Headers],[ID]]))))=0,"",INDEX(tsk_ActStart,(ROW()-ROW(MSPTasks[[#Headers],[ID]])))))</f>
        <v/>
      </c>
      <c r="N10" s="126" t="str">
        <f aca="false">IF(IFERROR(INDEX(tsk_Name,(ROW()-ROW(MSPTasks[[#Headers],[ID]])))="",TRUE()),"",IF(N(INDEX(tsk_ActFinish,(ROW()-ROW(MSPTasks[[#Headers],[ID]]))))=0,"",INDEX(tsk_ActFinish,(ROW()-ROW(MSPTasks[[#Headers],[ID]])))))</f>
        <v/>
      </c>
      <c r="O10" s="126" t="str">
        <f aca="false">IF(IFERROR(INDEX(tsk_Name,(ROW()-ROW(MSPTasks[[#Headers],[ID]])))="",TRUE()),"",INDEX(tsk_PlanStart,(ROW()-ROW(MSPTasks[[#Headers],[ID]]))))</f>
        <v/>
      </c>
      <c r="P10" s="126"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 s="126" t="str">
        <f aca="false">IF(IFERROR(INDEX(tsk_Name,(ROW()-ROW(MSPTasks[[#Headers],[ID]])))="",TRUE()),"",IF(OR(INDEX(tsk_IsSummary,(ROW()-ROW(MSPTasks[[#Headers],[ID]]))),INDEX(tsk_Mode,(ROW()-ROW(MSPTasks[[#Headers],[ID]])))="Manual"),"",IF(N(INDEX(tsk_ConstraintCode,(ROW()-ROW(MSPTasks[[#Headers],[ID]]))))&lt;2,"",INDEX(tsk_Constraint,(ROW()-ROW(MSPTasks[[#Headers],[ID]]))))))</f>
        <v/>
      </c>
      <c r="W10" s="126"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6" t="str">
        <f aca="false">IF(IFERROR(INDEX(tsk_Name,(ROW()-ROW(MSPTasks[[#Headers],[ID]])))="",TRUE()),"",INDEX(tsk_FcStart,(ROW()-ROW(MSPTasks[[#Headers],[ID]]))))</f>
        <v/>
      </c>
      <c r="H11" s="126"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IF(IFERROR(INDEX(tsk_Name,(ROW()-ROW(MSPTasks[[#Headers],[ID]])))="",TRUE()),"",INDEX(tsk_ResourceNames,(ROW()-ROW(MSPTasks[[#Headers],[ID]])))&amp;"")</f>
        <v/>
      </c>
      <c r="L11" s="24" t="str">
        <f aca="false">IF(IFERROR(INDEX(tsk_Name,(ROW()-ROW(MSPTasks[[#Headers],[ID]])))="",TRUE()),"",IF(INDEX(tsk_IsSummary,(ROW()-ROW(MSPTasks[[#Headers],[ID]]))),"",ROUND(INDEX(tsk_Progress,(ROW()-ROW(MSPTasks[[#Headers],[ID]])))*100,0)))</f>
        <v/>
      </c>
      <c r="M11" s="126" t="str">
        <f aca="false">IF(IFERROR(INDEX(tsk_Name,(ROW()-ROW(MSPTasks[[#Headers],[ID]])))="",TRUE()),"",IF(N(INDEX(tsk_ActStart,(ROW()-ROW(MSPTasks[[#Headers],[ID]]))))=0,"",INDEX(tsk_ActStart,(ROW()-ROW(MSPTasks[[#Headers],[ID]])))))</f>
        <v/>
      </c>
      <c r="N11" s="126" t="str">
        <f aca="false">IF(IFERROR(INDEX(tsk_Name,(ROW()-ROW(MSPTasks[[#Headers],[ID]])))="",TRUE()),"",IF(N(INDEX(tsk_ActFinish,(ROW()-ROW(MSPTasks[[#Headers],[ID]]))))=0,"",INDEX(tsk_ActFinish,(ROW()-ROW(MSPTasks[[#Headers],[ID]])))))</f>
        <v/>
      </c>
      <c r="O11" s="126" t="str">
        <f aca="false">IF(IFERROR(INDEX(tsk_Name,(ROW()-ROW(MSPTasks[[#Headers],[ID]])))="",TRUE()),"",INDEX(tsk_PlanStart,(ROW()-ROW(MSPTasks[[#Headers],[ID]]))))</f>
        <v/>
      </c>
      <c r="P11" s="126"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 s="126" t="str">
        <f aca="false">IF(IFERROR(INDEX(tsk_Name,(ROW()-ROW(MSPTasks[[#Headers],[ID]])))="",TRUE()),"",IF(OR(INDEX(tsk_IsSummary,(ROW()-ROW(MSPTasks[[#Headers],[ID]]))),INDEX(tsk_Mode,(ROW()-ROW(MSPTasks[[#Headers],[ID]])))="Manual"),"",IF(N(INDEX(tsk_ConstraintCode,(ROW()-ROW(MSPTasks[[#Headers],[ID]]))))&lt;2,"",INDEX(tsk_Constraint,(ROW()-ROW(MSPTasks[[#Headers],[ID]]))))))</f>
        <v/>
      </c>
      <c r="W11" s="126"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6" t="str">
        <f aca="false">IF(IFERROR(INDEX(tsk_Name,(ROW()-ROW(MSPTasks[[#Headers],[ID]])))="",TRUE()),"",INDEX(tsk_FcStart,(ROW()-ROW(MSPTasks[[#Headers],[ID]]))))</f>
        <v/>
      </c>
      <c r="H12" s="126"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IF(IFERROR(INDEX(tsk_Name,(ROW()-ROW(MSPTasks[[#Headers],[ID]])))="",TRUE()),"",INDEX(tsk_ResourceNames,(ROW()-ROW(MSPTasks[[#Headers],[ID]])))&amp;"")</f>
        <v/>
      </c>
      <c r="L12" s="24" t="str">
        <f aca="false">IF(IFERROR(INDEX(tsk_Name,(ROW()-ROW(MSPTasks[[#Headers],[ID]])))="",TRUE()),"",IF(INDEX(tsk_IsSummary,(ROW()-ROW(MSPTasks[[#Headers],[ID]]))),"",ROUND(INDEX(tsk_Progress,(ROW()-ROW(MSPTasks[[#Headers],[ID]])))*100,0)))</f>
        <v/>
      </c>
      <c r="M12" s="126" t="str">
        <f aca="false">IF(IFERROR(INDEX(tsk_Name,(ROW()-ROW(MSPTasks[[#Headers],[ID]])))="",TRUE()),"",IF(N(INDEX(tsk_ActStart,(ROW()-ROW(MSPTasks[[#Headers],[ID]]))))=0,"",INDEX(tsk_ActStart,(ROW()-ROW(MSPTasks[[#Headers],[ID]])))))</f>
        <v/>
      </c>
      <c r="N12" s="126" t="str">
        <f aca="false">IF(IFERROR(INDEX(tsk_Name,(ROW()-ROW(MSPTasks[[#Headers],[ID]])))="",TRUE()),"",IF(N(INDEX(tsk_ActFinish,(ROW()-ROW(MSPTasks[[#Headers],[ID]]))))=0,"",INDEX(tsk_ActFinish,(ROW()-ROW(MSPTasks[[#Headers],[ID]])))))</f>
        <v/>
      </c>
      <c r="O12" s="126" t="str">
        <f aca="false">IF(IFERROR(INDEX(tsk_Name,(ROW()-ROW(MSPTasks[[#Headers],[ID]])))="",TRUE()),"",INDEX(tsk_PlanStart,(ROW()-ROW(MSPTasks[[#Headers],[ID]]))))</f>
        <v/>
      </c>
      <c r="P12" s="126"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 s="126" t="str">
        <f aca="false">IF(IFERROR(INDEX(tsk_Name,(ROW()-ROW(MSPTasks[[#Headers],[ID]])))="",TRUE()),"",IF(OR(INDEX(tsk_IsSummary,(ROW()-ROW(MSPTasks[[#Headers],[ID]]))),INDEX(tsk_Mode,(ROW()-ROW(MSPTasks[[#Headers],[ID]])))="Manual"),"",IF(N(INDEX(tsk_ConstraintCode,(ROW()-ROW(MSPTasks[[#Headers],[ID]]))))&lt;2,"",INDEX(tsk_Constraint,(ROW()-ROW(MSPTasks[[#Headers],[ID]]))))))</f>
        <v/>
      </c>
      <c r="W12" s="126"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6" t="str">
        <f aca="false">IF(IFERROR(INDEX(tsk_Name,(ROW()-ROW(MSPTasks[[#Headers],[ID]])))="",TRUE()),"",INDEX(tsk_FcStart,(ROW()-ROW(MSPTasks[[#Headers],[ID]]))))</f>
        <v/>
      </c>
      <c r="H13" s="126"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IF(IFERROR(INDEX(tsk_Name,(ROW()-ROW(MSPTasks[[#Headers],[ID]])))="",TRUE()),"",INDEX(tsk_ResourceNames,(ROW()-ROW(MSPTasks[[#Headers],[ID]])))&amp;"")</f>
        <v/>
      </c>
      <c r="L13" s="24" t="str">
        <f aca="false">IF(IFERROR(INDEX(tsk_Name,(ROW()-ROW(MSPTasks[[#Headers],[ID]])))="",TRUE()),"",IF(INDEX(tsk_IsSummary,(ROW()-ROW(MSPTasks[[#Headers],[ID]]))),"",ROUND(INDEX(tsk_Progress,(ROW()-ROW(MSPTasks[[#Headers],[ID]])))*100,0)))</f>
        <v/>
      </c>
      <c r="M13" s="126" t="str">
        <f aca="false">IF(IFERROR(INDEX(tsk_Name,(ROW()-ROW(MSPTasks[[#Headers],[ID]])))="",TRUE()),"",IF(N(INDEX(tsk_ActStart,(ROW()-ROW(MSPTasks[[#Headers],[ID]]))))=0,"",INDEX(tsk_ActStart,(ROW()-ROW(MSPTasks[[#Headers],[ID]])))))</f>
        <v/>
      </c>
      <c r="N13" s="126" t="str">
        <f aca="false">IF(IFERROR(INDEX(tsk_Name,(ROW()-ROW(MSPTasks[[#Headers],[ID]])))="",TRUE()),"",IF(N(INDEX(tsk_ActFinish,(ROW()-ROW(MSPTasks[[#Headers],[ID]]))))=0,"",INDEX(tsk_ActFinish,(ROW()-ROW(MSPTasks[[#Headers],[ID]])))))</f>
        <v/>
      </c>
      <c r="O13" s="126" t="str">
        <f aca="false">IF(IFERROR(INDEX(tsk_Name,(ROW()-ROW(MSPTasks[[#Headers],[ID]])))="",TRUE()),"",INDEX(tsk_PlanStart,(ROW()-ROW(MSPTasks[[#Headers],[ID]]))))</f>
        <v/>
      </c>
      <c r="P13" s="126"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 s="126" t="str">
        <f aca="false">IF(IFERROR(INDEX(tsk_Name,(ROW()-ROW(MSPTasks[[#Headers],[ID]])))="",TRUE()),"",IF(OR(INDEX(tsk_IsSummary,(ROW()-ROW(MSPTasks[[#Headers],[ID]]))),INDEX(tsk_Mode,(ROW()-ROW(MSPTasks[[#Headers],[ID]])))="Manual"),"",IF(N(INDEX(tsk_ConstraintCode,(ROW()-ROW(MSPTasks[[#Headers],[ID]]))))&lt;2,"",INDEX(tsk_Constraint,(ROW()-ROW(MSPTasks[[#Headers],[ID]]))))))</f>
        <v/>
      </c>
      <c r="W13" s="126"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6" t="str">
        <f aca="false">IF(IFERROR(INDEX(tsk_Name,(ROW()-ROW(MSPTasks[[#Headers],[ID]])))="",TRUE()),"",INDEX(tsk_FcStart,(ROW()-ROW(MSPTasks[[#Headers],[ID]]))))</f>
        <v/>
      </c>
      <c r="H14" s="126"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IF(IFERROR(INDEX(tsk_Name,(ROW()-ROW(MSPTasks[[#Headers],[ID]])))="",TRUE()),"",INDEX(tsk_ResourceNames,(ROW()-ROW(MSPTasks[[#Headers],[ID]])))&amp;"")</f>
        <v/>
      </c>
      <c r="L14" s="24" t="str">
        <f aca="false">IF(IFERROR(INDEX(tsk_Name,(ROW()-ROW(MSPTasks[[#Headers],[ID]])))="",TRUE()),"",IF(INDEX(tsk_IsSummary,(ROW()-ROW(MSPTasks[[#Headers],[ID]]))),"",ROUND(INDEX(tsk_Progress,(ROW()-ROW(MSPTasks[[#Headers],[ID]])))*100,0)))</f>
        <v/>
      </c>
      <c r="M14" s="126" t="str">
        <f aca="false">IF(IFERROR(INDEX(tsk_Name,(ROW()-ROW(MSPTasks[[#Headers],[ID]])))="",TRUE()),"",IF(N(INDEX(tsk_ActStart,(ROW()-ROW(MSPTasks[[#Headers],[ID]]))))=0,"",INDEX(tsk_ActStart,(ROW()-ROW(MSPTasks[[#Headers],[ID]])))))</f>
        <v/>
      </c>
      <c r="N14" s="126" t="str">
        <f aca="false">IF(IFERROR(INDEX(tsk_Name,(ROW()-ROW(MSPTasks[[#Headers],[ID]])))="",TRUE()),"",IF(N(INDEX(tsk_ActFinish,(ROW()-ROW(MSPTasks[[#Headers],[ID]]))))=0,"",INDEX(tsk_ActFinish,(ROW()-ROW(MSPTasks[[#Headers],[ID]])))))</f>
        <v/>
      </c>
      <c r="O14" s="126" t="str">
        <f aca="false">IF(IFERROR(INDEX(tsk_Name,(ROW()-ROW(MSPTasks[[#Headers],[ID]])))="",TRUE()),"",INDEX(tsk_PlanStart,(ROW()-ROW(MSPTasks[[#Headers],[ID]]))))</f>
        <v/>
      </c>
      <c r="P14" s="126"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 s="126" t="str">
        <f aca="false">IF(IFERROR(INDEX(tsk_Name,(ROW()-ROW(MSPTasks[[#Headers],[ID]])))="",TRUE()),"",IF(OR(INDEX(tsk_IsSummary,(ROW()-ROW(MSPTasks[[#Headers],[ID]]))),INDEX(tsk_Mode,(ROW()-ROW(MSPTasks[[#Headers],[ID]])))="Manual"),"",IF(N(INDEX(tsk_ConstraintCode,(ROW()-ROW(MSPTasks[[#Headers],[ID]]))))&lt;2,"",INDEX(tsk_Constraint,(ROW()-ROW(MSPTasks[[#Headers],[ID]]))))))</f>
        <v/>
      </c>
      <c r="W14" s="126"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6" t="str">
        <f aca="false">IF(IFERROR(INDEX(tsk_Name,(ROW()-ROW(MSPTasks[[#Headers],[ID]])))="",TRUE()),"",INDEX(tsk_FcStart,(ROW()-ROW(MSPTasks[[#Headers],[ID]]))))</f>
        <v/>
      </c>
      <c r="H15" s="126"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IF(IFERROR(INDEX(tsk_Name,(ROW()-ROW(MSPTasks[[#Headers],[ID]])))="",TRUE()),"",INDEX(tsk_ResourceNames,(ROW()-ROW(MSPTasks[[#Headers],[ID]])))&amp;"")</f>
        <v/>
      </c>
      <c r="L15" s="24" t="str">
        <f aca="false">IF(IFERROR(INDEX(tsk_Name,(ROW()-ROW(MSPTasks[[#Headers],[ID]])))="",TRUE()),"",IF(INDEX(tsk_IsSummary,(ROW()-ROW(MSPTasks[[#Headers],[ID]]))),"",ROUND(INDEX(tsk_Progress,(ROW()-ROW(MSPTasks[[#Headers],[ID]])))*100,0)))</f>
        <v/>
      </c>
      <c r="M15" s="126" t="str">
        <f aca="false">IF(IFERROR(INDEX(tsk_Name,(ROW()-ROW(MSPTasks[[#Headers],[ID]])))="",TRUE()),"",IF(N(INDEX(tsk_ActStart,(ROW()-ROW(MSPTasks[[#Headers],[ID]]))))=0,"",INDEX(tsk_ActStart,(ROW()-ROW(MSPTasks[[#Headers],[ID]])))))</f>
        <v/>
      </c>
      <c r="N15" s="126" t="str">
        <f aca="false">IF(IFERROR(INDEX(tsk_Name,(ROW()-ROW(MSPTasks[[#Headers],[ID]])))="",TRUE()),"",IF(N(INDEX(tsk_ActFinish,(ROW()-ROW(MSPTasks[[#Headers],[ID]]))))=0,"",INDEX(tsk_ActFinish,(ROW()-ROW(MSPTasks[[#Headers],[ID]])))))</f>
        <v/>
      </c>
      <c r="O15" s="126" t="str">
        <f aca="false">IF(IFERROR(INDEX(tsk_Name,(ROW()-ROW(MSPTasks[[#Headers],[ID]])))="",TRUE()),"",INDEX(tsk_PlanStart,(ROW()-ROW(MSPTasks[[#Headers],[ID]]))))</f>
        <v/>
      </c>
      <c r="P15" s="126"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 s="126" t="str">
        <f aca="false">IF(IFERROR(INDEX(tsk_Name,(ROW()-ROW(MSPTasks[[#Headers],[ID]])))="",TRUE()),"",IF(OR(INDEX(tsk_IsSummary,(ROW()-ROW(MSPTasks[[#Headers],[ID]]))),INDEX(tsk_Mode,(ROW()-ROW(MSPTasks[[#Headers],[ID]])))="Manual"),"",IF(N(INDEX(tsk_ConstraintCode,(ROW()-ROW(MSPTasks[[#Headers],[ID]]))))&lt;2,"",INDEX(tsk_Constraint,(ROW()-ROW(MSPTasks[[#Headers],[ID]]))))))</f>
        <v/>
      </c>
      <c r="W15" s="126"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6" t="str">
        <f aca="false">IF(IFERROR(INDEX(tsk_Name,(ROW()-ROW(MSPTasks[[#Headers],[ID]])))="",TRUE()),"",INDEX(tsk_FcStart,(ROW()-ROW(MSPTasks[[#Headers],[ID]]))))</f>
        <v/>
      </c>
      <c r="H16" s="126"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IF(IFERROR(INDEX(tsk_Name,(ROW()-ROW(MSPTasks[[#Headers],[ID]])))="",TRUE()),"",INDEX(tsk_ResourceNames,(ROW()-ROW(MSPTasks[[#Headers],[ID]])))&amp;"")</f>
        <v/>
      </c>
      <c r="L16" s="24" t="str">
        <f aca="false">IF(IFERROR(INDEX(tsk_Name,(ROW()-ROW(MSPTasks[[#Headers],[ID]])))="",TRUE()),"",IF(INDEX(tsk_IsSummary,(ROW()-ROW(MSPTasks[[#Headers],[ID]]))),"",ROUND(INDEX(tsk_Progress,(ROW()-ROW(MSPTasks[[#Headers],[ID]])))*100,0)))</f>
        <v/>
      </c>
      <c r="M16" s="126" t="str">
        <f aca="false">IF(IFERROR(INDEX(tsk_Name,(ROW()-ROW(MSPTasks[[#Headers],[ID]])))="",TRUE()),"",IF(N(INDEX(tsk_ActStart,(ROW()-ROW(MSPTasks[[#Headers],[ID]]))))=0,"",INDEX(tsk_ActStart,(ROW()-ROW(MSPTasks[[#Headers],[ID]])))))</f>
        <v/>
      </c>
      <c r="N16" s="126" t="str">
        <f aca="false">IF(IFERROR(INDEX(tsk_Name,(ROW()-ROW(MSPTasks[[#Headers],[ID]])))="",TRUE()),"",IF(N(INDEX(tsk_ActFinish,(ROW()-ROW(MSPTasks[[#Headers],[ID]]))))=0,"",INDEX(tsk_ActFinish,(ROW()-ROW(MSPTasks[[#Headers],[ID]])))))</f>
        <v/>
      </c>
      <c r="O16" s="126" t="str">
        <f aca="false">IF(IFERROR(INDEX(tsk_Name,(ROW()-ROW(MSPTasks[[#Headers],[ID]])))="",TRUE()),"",INDEX(tsk_PlanStart,(ROW()-ROW(MSPTasks[[#Headers],[ID]]))))</f>
        <v/>
      </c>
      <c r="P16" s="126"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 s="126" t="str">
        <f aca="false">IF(IFERROR(INDEX(tsk_Name,(ROW()-ROW(MSPTasks[[#Headers],[ID]])))="",TRUE()),"",IF(OR(INDEX(tsk_IsSummary,(ROW()-ROW(MSPTasks[[#Headers],[ID]]))),INDEX(tsk_Mode,(ROW()-ROW(MSPTasks[[#Headers],[ID]])))="Manual"),"",IF(N(INDEX(tsk_ConstraintCode,(ROW()-ROW(MSPTasks[[#Headers],[ID]]))))&lt;2,"",INDEX(tsk_Constraint,(ROW()-ROW(MSPTasks[[#Headers],[ID]]))))))</f>
        <v/>
      </c>
      <c r="W16" s="126"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6" t="str">
        <f aca="false">IF(IFERROR(INDEX(tsk_Name,(ROW()-ROW(MSPTasks[[#Headers],[ID]])))="",TRUE()),"",INDEX(tsk_FcStart,(ROW()-ROW(MSPTasks[[#Headers],[ID]]))))</f>
        <v/>
      </c>
      <c r="H17" s="126"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IF(IFERROR(INDEX(tsk_Name,(ROW()-ROW(MSPTasks[[#Headers],[ID]])))="",TRUE()),"",INDEX(tsk_ResourceNames,(ROW()-ROW(MSPTasks[[#Headers],[ID]])))&amp;"")</f>
        <v/>
      </c>
      <c r="L17" s="24" t="str">
        <f aca="false">IF(IFERROR(INDEX(tsk_Name,(ROW()-ROW(MSPTasks[[#Headers],[ID]])))="",TRUE()),"",IF(INDEX(tsk_IsSummary,(ROW()-ROW(MSPTasks[[#Headers],[ID]]))),"",ROUND(INDEX(tsk_Progress,(ROW()-ROW(MSPTasks[[#Headers],[ID]])))*100,0)))</f>
        <v/>
      </c>
      <c r="M17" s="126" t="str">
        <f aca="false">IF(IFERROR(INDEX(tsk_Name,(ROW()-ROW(MSPTasks[[#Headers],[ID]])))="",TRUE()),"",IF(N(INDEX(tsk_ActStart,(ROW()-ROW(MSPTasks[[#Headers],[ID]]))))=0,"",INDEX(tsk_ActStart,(ROW()-ROW(MSPTasks[[#Headers],[ID]])))))</f>
        <v/>
      </c>
      <c r="N17" s="126" t="str">
        <f aca="false">IF(IFERROR(INDEX(tsk_Name,(ROW()-ROW(MSPTasks[[#Headers],[ID]])))="",TRUE()),"",IF(N(INDEX(tsk_ActFinish,(ROW()-ROW(MSPTasks[[#Headers],[ID]]))))=0,"",INDEX(tsk_ActFinish,(ROW()-ROW(MSPTasks[[#Headers],[ID]])))))</f>
        <v/>
      </c>
      <c r="O17" s="126" t="str">
        <f aca="false">IF(IFERROR(INDEX(tsk_Name,(ROW()-ROW(MSPTasks[[#Headers],[ID]])))="",TRUE()),"",INDEX(tsk_PlanStart,(ROW()-ROW(MSPTasks[[#Headers],[ID]]))))</f>
        <v/>
      </c>
      <c r="P17" s="126"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 s="126" t="str">
        <f aca="false">IF(IFERROR(INDEX(tsk_Name,(ROW()-ROW(MSPTasks[[#Headers],[ID]])))="",TRUE()),"",IF(OR(INDEX(tsk_IsSummary,(ROW()-ROW(MSPTasks[[#Headers],[ID]]))),INDEX(tsk_Mode,(ROW()-ROW(MSPTasks[[#Headers],[ID]])))="Manual"),"",IF(N(INDEX(tsk_ConstraintCode,(ROW()-ROW(MSPTasks[[#Headers],[ID]]))))&lt;2,"",INDEX(tsk_Constraint,(ROW()-ROW(MSPTasks[[#Headers],[ID]]))))))</f>
        <v/>
      </c>
      <c r="W17" s="126"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6" t="str">
        <f aca="false">IF(IFERROR(INDEX(tsk_Name,(ROW()-ROW(MSPTasks[[#Headers],[ID]])))="",TRUE()),"",INDEX(tsk_FcStart,(ROW()-ROW(MSPTasks[[#Headers],[ID]]))))</f>
        <v/>
      </c>
      <c r="H18" s="126"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IF(IFERROR(INDEX(tsk_Name,(ROW()-ROW(MSPTasks[[#Headers],[ID]])))="",TRUE()),"",INDEX(tsk_ResourceNames,(ROW()-ROW(MSPTasks[[#Headers],[ID]])))&amp;"")</f>
        <v/>
      </c>
      <c r="L18" s="24" t="str">
        <f aca="false">IF(IFERROR(INDEX(tsk_Name,(ROW()-ROW(MSPTasks[[#Headers],[ID]])))="",TRUE()),"",IF(INDEX(tsk_IsSummary,(ROW()-ROW(MSPTasks[[#Headers],[ID]]))),"",ROUND(INDEX(tsk_Progress,(ROW()-ROW(MSPTasks[[#Headers],[ID]])))*100,0)))</f>
        <v/>
      </c>
      <c r="M18" s="126" t="str">
        <f aca="false">IF(IFERROR(INDEX(tsk_Name,(ROW()-ROW(MSPTasks[[#Headers],[ID]])))="",TRUE()),"",IF(N(INDEX(tsk_ActStart,(ROW()-ROW(MSPTasks[[#Headers],[ID]]))))=0,"",INDEX(tsk_ActStart,(ROW()-ROW(MSPTasks[[#Headers],[ID]])))))</f>
        <v/>
      </c>
      <c r="N18" s="126" t="str">
        <f aca="false">IF(IFERROR(INDEX(tsk_Name,(ROW()-ROW(MSPTasks[[#Headers],[ID]])))="",TRUE()),"",IF(N(INDEX(tsk_ActFinish,(ROW()-ROW(MSPTasks[[#Headers],[ID]]))))=0,"",INDEX(tsk_ActFinish,(ROW()-ROW(MSPTasks[[#Headers],[ID]])))))</f>
        <v/>
      </c>
      <c r="O18" s="126" t="str">
        <f aca="false">IF(IFERROR(INDEX(tsk_Name,(ROW()-ROW(MSPTasks[[#Headers],[ID]])))="",TRUE()),"",INDEX(tsk_PlanStart,(ROW()-ROW(MSPTasks[[#Headers],[ID]]))))</f>
        <v/>
      </c>
      <c r="P18" s="126"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 s="126" t="str">
        <f aca="false">IF(IFERROR(INDEX(tsk_Name,(ROW()-ROW(MSPTasks[[#Headers],[ID]])))="",TRUE()),"",IF(OR(INDEX(tsk_IsSummary,(ROW()-ROW(MSPTasks[[#Headers],[ID]]))),INDEX(tsk_Mode,(ROW()-ROW(MSPTasks[[#Headers],[ID]])))="Manual"),"",IF(N(INDEX(tsk_ConstraintCode,(ROW()-ROW(MSPTasks[[#Headers],[ID]]))))&lt;2,"",INDEX(tsk_Constraint,(ROW()-ROW(MSPTasks[[#Headers],[ID]]))))))</f>
        <v/>
      </c>
      <c r="W18" s="126"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6" t="str">
        <f aca="false">IF(IFERROR(INDEX(tsk_Name,(ROW()-ROW(MSPTasks[[#Headers],[ID]])))="",TRUE()),"",INDEX(tsk_FcStart,(ROW()-ROW(MSPTasks[[#Headers],[ID]]))))</f>
        <v/>
      </c>
      <c r="H19" s="126"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IF(IFERROR(INDEX(tsk_Name,(ROW()-ROW(MSPTasks[[#Headers],[ID]])))="",TRUE()),"",INDEX(tsk_ResourceNames,(ROW()-ROW(MSPTasks[[#Headers],[ID]])))&amp;"")</f>
        <v/>
      </c>
      <c r="L19" s="24" t="str">
        <f aca="false">IF(IFERROR(INDEX(tsk_Name,(ROW()-ROW(MSPTasks[[#Headers],[ID]])))="",TRUE()),"",IF(INDEX(tsk_IsSummary,(ROW()-ROW(MSPTasks[[#Headers],[ID]]))),"",ROUND(INDEX(tsk_Progress,(ROW()-ROW(MSPTasks[[#Headers],[ID]])))*100,0)))</f>
        <v/>
      </c>
      <c r="M19" s="126" t="str">
        <f aca="false">IF(IFERROR(INDEX(tsk_Name,(ROW()-ROW(MSPTasks[[#Headers],[ID]])))="",TRUE()),"",IF(N(INDEX(tsk_ActStart,(ROW()-ROW(MSPTasks[[#Headers],[ID]]))))=0,"",INDEX(tsk_ActStart,(ROW()-ROW(MSPTasks[[#Headers],[ID]])))))</f>
        <v/>
      </c>
      <c r="N19" s="126" t="str">
        <f aca="false">IF(IFERROR(INDEX(tsk_Name,(ROW()-ROW(MSPTasks[[#Headers],[ID]])))="",TRUE()),"",IF(N(INDEX(tsk_ActFinish,(ROW()-ROW(MSPTasks[[#Headers],[ID]]))))=0,"",INDEX(tsk_ActFinish,(ROW()-ROW(MSPTasks[[#Headers],[ID]])))))</f>
        <v/>
      </c>
      <c r="O19" s="126" t="str">
        <f aca="false">IF(IFERROR(INDEX(tsk_Name,(ROW()-ROW(MSPTasks[[#Headers],[ID]])))="",TRUE()),"",INDEX(tsk_PlanStart,(ROW()-ROW(MSPTasks[[#Headers],[ID]]))))</f>
        <v/>
      </c>
      <c r="P19" s="126"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 s="126" t="str">
        <f aca="false">IF(IFERROR(INDEX(tsk_Name,(ROW()-ROW(MSPTasks[[#Headers],[ID]])))="",TRUE()),"",IF(OR(INDEX(tsk_IsSummary,(ROW()-ROW(MSPTasks[[#Headers],[ID]]))),INDEX(tsk_Mode,(ROW()-ROW(MSPTasks[[#Headers],[ID]])))="Manual"),"",IF(N(INDEX(tsk_ConstraintCode,(ROW()-ROW(MSPTasks[[#Headers],[ID]]))))&lt;2,"",INDEX(tsk_Constraint,(ROW()-ROW(MSPTasks[[#Headers],[ID]]))))))</f>
        <v/>
      </c>
      <c r="W19" s="126"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6" t="str">
        <f aca="false">IF(IFERROR(INDEX(tsk_Name,(ROW()-ROW(MSPTasks[[#Headers],[ID]])))="",TRUE()),"",INDEX(tsk_FcStart,(ROW()-ROW(MSPTasks[[#Headers],[ID]]))))</f>
        <v/>
      </c>
      <c r="H20" s="126"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IF(IFERROR(INDEX(tsk_Name,(ROW()-ROW(MSPTasks[[#Headers],[ID]])))="",TRUE()),"",INDEX(tsk_ResourceNames,(ROW()-ROW(MSPTasks[[#Headers],[ID]])))&amp;"")</f>
        <v/>
      </c>
      <c r="L20" s="24" t="str">
        <f aca="false">IF(IFERROR(INDEX(tsk_Name,(ROW()-ROW(MSPTasks[[#Headers],[ID]])))="",TRUE()),"",IF(INDEX(tsk_IsSummary,(ROW()-ROW(MSPTasks[[#Headers],[ID]]))),"",ROUND(INDEX(tsk_Progress,(ROW()-ROW(MSPTasks[[#Headers],[ID]])))*100,0)))</f>
        <v/>
      </c>
      <c r="M20" s="126" t="str">
        <f aca="false">IF(IFERROR(INDEX(tsk_Name,(ROW()-ROW(MSPTasks[[#Headers],[ID]])))="",TRUE()),"",IF(N(INDEX(tsk_ActStart,(ROW()-ROW(MSPTasks[[#Headers],[ID]]))))=0,"",INDEX(tsk_ActStart,(ROW()-ROW(MSPTasks[[#Headers],[ID]])))))</f>
        <v/>
      </c>
      <c r="N20" s="126" t="str">
        <f aca="false">IF(IFERROR(INDEX(tsk_Name,(ROW()-ROW(MSPTasks[[#Headers],[ID]])))="",TRUE()),"",IF(N(INDEX(tsk_ActFinish,(ROW()-ROW(MSPTasks[[#Headers],[ID]]))))=0,"",INDEX(tsk_ActFinish,(ROW()-ROW(MSPTasks[[#Headers],[ID]])))))</f>
        <v/>
      </c>
      <c r="O20" s="126" t="str">
        <f aca="false">IF(IFERROR(INDEX(tsk_Name,(ROW()-ROW(MSPTasks[[#Headers],[ID]])))="",TRUE()),"",INDEX(tsk_PlanStart,(ROW()-ROW(MSPTasks[[#Headers],[ID]]))))</f>
        <v/>
      </c>
      <c r="P20" s="126"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 s="126" t="str">
        <f aca="false">IF(IFERROR(INDEX(tsk_Name,(ROW()-ROW(MSPTasks[[#Headers],[ID]])))="",TRUE()),"",IF(OR(INDEX(tsk_IsSummary,(ROW()-ROW(MSPTasks[[#Headers],[ID]]))),INDEX(tsk_Mode,(ROW()-ROW(MSPTasks[[#Headers],[ID]])))="Manual"),"",IF(N(INDEX(tsk_ConstraintCode,(ROW()-ROW(MSPTasks[[#Headers],[ID]]))))&lt;2,"",INDEX(tsk_Constraint,(ROW()-ROW(MSPTasks[[#Headers],[ID]]))))))</f>
        <v/>
      </c>
      <c r="W20" s="126"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6" t="str">
        <f aca="false">IF(IFERROR(INDEX(tsk_Name,(ROW()-ROW(MSPTasks[[#Headers],[ID]])))="",TRUE()),"",INDEX(tsk_FcStart,(ROW()-ROW(MSPTasks[[#Headers],[ID]]))))</f>
        <v/>
      </c>
      <c r="H21" s="126"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IF(IFERROR(INDEX(tsk_Name,(ROW()-ROW(MSPTasks[[#Headers],[ID]])))="",TRUE()),"",INDEX(tsk_ResourceNames,(ROW()-ROW(MSPTasks[[#Headers],[ID]])))&amp;"")</f>
        <v/>
      </c>
      <c r="L21" s="24" t="str">
        <f aca="false">IF(IFERROR(INDEX(tsk_Name,(ROW()-ROW(MSPTasks[[#Headers],[ID]])))="",TRUE()),"",IF(INDEX(tsk_IsSummary,(ROW()-ROW(MSPTasks[[#Headers],[ID]]))),"",ROUND(INDEX(tsk_Progress,(ROW()-ROW(MSPTasks[[#Headers],[ID]])))*100,0)))</f>
        <v/>
      </c>
      <c r="M21" s="126" t="str">
        <f aca="false">IF(IFERROR(INDEX(tsk_Name,(ROW()-ROW(MSPTasks[[#Headers],[ID]])))="",TRUE()),"",IF(N(INDEX(tsk_ActStart,(ROW()-ROW(MSPTasks[[#Headers],[ID]]))))=0,"",INDEX(tsk_ActStart,(ROW()-ROW(MSPTasks[[#Headers],[ID]])))))</f>
        <v/>
      </c>
      <c r="N21" s="126" t="str">
        <f aca="false">IF(IFERROR(INDEX(tsk_Name,(ROW()-ROW(MSPTasks[[#Headers],[ID]])))="",TRUE()),"",IF(N(INDEX(tsk_ActFinish,(ROW()-ROW(MSPTasks[[#Headers],[ID]]))))=0,"",INDEX(tsk_ActFinish,(ROW()-ROW(MSPTasks[[#Headers],[ID]])))))</f>
        <v/>
      </c>
      <c r="O21" s="126" t="str">
        <f aca="false">IF(IFERROR(INDEX(tsk_Name,(ROW()-ROW(MSPTasks[[#Headers],[ID]])))="",TRUE()),"",INDEX(tsk_PlanStart,(ROW()-ROW(MSPTasks[[#Headers],[ID]]))))</f>
        <v/>
      </c>
      <c r="P21" s="126"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1" s="126" t="str">
        <f aca="false">IF(IFERROR(INDEX(tsk_Name,(ROW()-ROW(MSPTasks[[#Headers],[ID]])))="",TRUE()),"",IF(OR(INDEX(tsk_IsSummary,(ROW()-ROW(MSPTasks[[#Headers],[ID]]))),INDEX(tsk_Mode,(ROW()-ROW(MSPTasks[[#Headers],[ID]])))="Manual"),"",IF(N(INDEX(tsk_ConstraintCode,(ROW()-ROW(MSPTasks[[#Headers],[ID]]))))&lt;2,"",INDEX(tsk_Constraint,(ROW()-ROW(MSPTasks[[#Headers],[ID]]))))))</f>
        <v/>
      </c>
      <c r="W21" s="126"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6" t="str">
        <f aca="false">IF(IFERROR(INDEX(tsk_Name,(ROW()-ROW(MSPTasks[[#Headers],[ID]])))="",TRUE()),"",INDEX(tsk_FcStart,(ROW()-ROW(MSPTasks[[#Headers],[ID]]))))</f>
        <v/>
      </c>
      <c r="H22" s="126"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IF(IFERROR(INDEX(tsk_Name,(ROW()-ROW(MSPTasks[[#Headers],[ID]])))="",TRUE()),"",INDEX(tsk_ResourceNames,(ROW()-ROW(MSPTasks[[#Headers],[ID]])))&amp;"")</f>
        <v/>
      </c>
      <c r="L22" s="24" t="str">
        <f aca="false">IF(IFERROR(INDEX(tsk_Name,(ROW()-ROW(MSPTasks[[#Headers],[ID]])))="",TRUE()),"",IF(INDEX(tsk_IsSummary,(ROW()-ROW(MSPTasks[[#Headers],[ID]]))),"",ROUND(INDEX(tsk_Progress,(ROW()-ROW(MSPTasks[[#Headers],[ID]])))*100,0)))</f>
        <v/>
      </c>
      <c r="M22" s="126" t="str">
        <f aca="false">IF(IFERROR(INDEX(tsk_Name,(ROW()-ROW(MSPTasks[[#Headers],[ID]])))="",TRUE()),"",IF(N(INDEX(tsk_ActStart,(ROW()-ROW(MSPTasks[[#Headers],[ID]]))))=0,"",INDEX(tsk_ActStart,(ROW()-ROW(MSPTasks[[#Headers],[ID]])))))</f>
        <v/>
      </c>
      <c r="N22" s="126" t="str">
        <f aca="false">IF(IFERROR(INDEX(tsk_Name,(ROW()-ROW(MSPTasks[[#Headers],[ID]])))="",TRUE()),"",IF(N(INDEX(tsk_ActFinish,(ROW()-ROW(MSPTasks[[#Headers],[ID]]))))=0,"",INDEX(tsk_ActFinish,(ROW()-ROW(MSPTasks[[#Headers],[ID]])))))</f>
        <v/>
      </c>
      <c r="O22" s="126" t="str">
        <f aca="false">IF(IFERROR(INDEX(tsk_Name,(ROW()-ROW(MSPTasks[[#Headers],[ID]])))="",TRUE()),"",INDEX(tsk_PlanStart,(ROW()-ROW(MSPTasks[[#Headers],[ID]]))))</f>
        <v/>
      </c>
      <c r="P22" s="126"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2" s="126" t="str">
        <f aca="false">IF(IFERROR(INDEX(tsk_Name,(ROW()-ROW(MSPTasks[[#Headers],[ID]])))="",TRUE()),"",IF(OR(INDEX(tsk_IsSummary,(ROW()-ROW(MSPTasks[[#Headers],[ID]]))),INDEX(tsk_Mode,(ROW()-ROW(MSPTasks[[#Headers],[ID]])))="Manual"),"",IF(N(INDEX(tsk_ConstraintCode,(ROW()-ROW(MSPTasks[[#Headers],[ID]]))))&lt;2,"",INDEX(tsk_Constraint,(ROW()-ROW(MSPTasks[[#Headers],[ID]]))))))</f>
        <v/>
      </c>
      <c r="W22" s="126"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6" t="str">
        <f aca="false">IF(IFERROR(INDEX(tsk_Name,(ROW()-ROW(MSPTasks[[#Headers],[ID]])))="",TRUE()),"",INDEX(tsk_FcStart,(ROW()-ROW(MSPTasks[[#Headers],[ID]]))))</f>
        <v/>
      </c>
      <c r="H23" s="126"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IF(IFERROR(INDEX(tsk_Name,(ROW()-ROW(MSPTasks[[#Headers],[ID]])))="",TRUE()),"",INDEX(tsk_ResourceNames,(ROW()-ROW(MSPTasks[[#Headers],[ID]])))&amp;"")</f>
        <v/>
      </c>
      <c r="L23" s="24" t="str">
        <f aca="false">IF(IFERROR(INDEX(tsk_Name,(ROW()-ROW(MSPTasks[[#Headers],[ID]])))="",TRUE()),"",IF(INDEX(tsk_IsSummary,(ROW()-ROW(MSPTasks[[#Headers],[ID]]))),"",ROUND(INDEX(tsk_Progress,(ROW()-ROW(MSPTasks[[#Headers],[ID]])))*100,0)))</f>
        <v/>
      </c>
      <c r="M23" s="126" t="str">
        <f aca="false">IF(IFERROR(INDEX(tsk_Name,(ROW()-ROW(MSPTasks[[#Headers],[ID]])))="",TRUE()),"",IF(N(INDEX(tsk_ActStart,(ROW()-ROW(MSPTasks[[#Headers],[ID]]))))=0,"",INDEX(tsk_ActStart,(ROW()-ROW(MSPTasks[[#Headers],[ID]])))))</f>
        <v/>
      </c>
      <c r="N23" s="126" t="str">
        <f aca="false">IF(IFERROR(INDEX(tsk_Name,(ROW()-ROW(MSPTasks[[#Headers],[ID]])))="",TRUE()),"",IF(N(INDEX(tsk_ActFinish,(ROW()-ROW(MSPTasks[[#Headers],[ID]]))))=0,"",INDEX(tsk_ActFinish,(ROW()-ROW(MSPTasks[[#Headers],[ID]])))))</f>
        <v/>
      </c>
      <c r="O23" s="126" t="str">
        <f aca="false">IF(IFERROR(INDEX(tsk_Name,(ROW()-ROW(MSPTasks[[#Headers],[ID]])))="",TRUE()),"",INDEX(tsk_PlanStart,(ROW()-ROW(MSPTasks[[#Headers],[ID]]))))</f>
        <v/>
      </c>
      <c r="P23" s="126"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3" s="126" t="str">
        <f aca="false">IF(IFERROR(INDEX(tsk_Name,(ROW()-ROW(MSPTasks[[#Headers],[ID]])))="",TRUE()),"",IF(OR(INDEX(tsk_IsSummary,(ROW()-ROW(MSPTasks[[#Headers],[ID]]))),INDEX(tsk_Mode,(ROW()-ROW(MSPTasks[[#Headers],[ID]])))="Manual"),"",IF(N(INDEX(tsk_ConstraintCode,(ROW()-ROW(MSPTasks[[#Headers],[ID]]))))&lt;2,"",INDEX(tsk_Constraint,(ROW()-ROW(MSPTasks[[#Headers],[ID]]))))))</f>
        <v/>
      </c>
      <c r="W23" s="126"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6" t="str">
        <f aca="false">IF(IFERROR(INDEX(tsk_Name,(ROW()-ROW(MSPTasks[[#Headers],[ID]])))="",TRUE()),"",INDEX(tsk_FcStart,(ROW()-ROW(MSPTasks[[#Headers],[ID]]))))</f>
        <v/>
      </c>
      <c r="H24" s="126"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IF(IFERROR(INDEX(tsk_Name,(ROW()-ROW(MSPTasks[[#Headers],[ID]])))="",TRUE()),"",INDEX(tsk_ResourceNames,(ROW()-ROW(MSPTasks[[#Headers],[ID]])))&amp;"")</f>
        <v/>
      </c>
      <c r="L24" s="24" t="str">
        <f aca="false">IF(IFERROR(INDEX(tsk_Name,(ROW()-ROW(MSPTasks[[#Headers],[ID]])))="",TRUE()),"",IF(INDEX(tsk_IsSummary,(ROW()-ROW(MSPTasks[[#Headers],[ID]]))),"",ROUND(INDEX(tsk_Progress,(ROW()-ROW(MSPTasks[[#Headers],[ID]])))*100,0)))</f>
        <v/>
      </c>
      <c r="M24" s="126" t="str">
        <f aca="false">IF(IFERROR(INDEX(tsk_Name,(ROW()-ROW(MSPTasks[[#Headers],[ID]])))="",TRUE()),"",IF(N(INDEX(tsk_ActStart,(ROW()-ROW(MSPTasks[[#Headers],[ID]]))))=0,"",INDEX(tsk_ActStart,(ROW()-ROW(MSPTasks[[#Headers],[ID]])))))</f>
        <v/>
      </c>
      <c r="N24" s="126" t="str">
        <f aca="false">IF(IFERROR(INDEX(tsk_Name,(ROW()-ROW(MSPTasks[[#Headers],[ID]])))="",TRUE()),"",IF(N(INDEX(tsk_ActFinish,(ROW()-ROW(MSPTasks[[#Headers],[ID]]))))=0,"",INDEX(tsk_ActFinish,(ROW()-ROW(MSPTasks[[#Headers],[ID]])))))</f>
        <v/>
      </c>
      <c r="O24" s="126" t="str">
        <f aca="false">IF(IFERROR(INDEX(tsk_Name,(ROW()-ROW(MSPTasks[[#Headers],[ID]])))="",TRUE()),"",INDEX(tsk_PlanStart,(ROW()-ROW(MSPTasks[[#Headers],[ID]]))))</f>
        <v/>
      </c>
      <c r="P24" s="126"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4" s="126" t="str">
        <f aca="false">IF(IFERROR(INDEX(tsk_Name,(ROW()-ROW(MSPTasks[[#Headers],[ID]])))="",TRUE()),"",IF(OR(INDEX(tsk_IsSummary,(ROW()-ROW(MSPTasks[[#Headers],[ID]]))),INDEX(tsk_Mode,(ROW()-ROW(MSPTasks[[#Headers],[ID]])))="Manual"),"",IF(N(INDEX(tsk_ConstraintCode,(ROW()-ROW(MSPTasks[[#Headers],[ID]]))))&lt;2,"",INDEX(tsk_Constraint,(ROW()-ROW(MSPTasks[[#Headers],[ID]]))))))</f>
        <v/>
      </c>
      <c r="W24" s="126"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6" t="str">
        <f aca="false">IF(IFERROR(INDEX(tsk_Name,(ROW()-ROW(MSPTasks[[#Headers],[ID]])))="",TRUE()),"",INDEX(tsk_FcStart,(ROW()-ROW(MSPTasks[[#Headers],[ID]]))))</f>
        <v/>
      </c>
      <c r="H25" s="126"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IF(IFERROR(INDEX(tsk_Name,(ROW()-ROW(MSPTasks[[#Headers],[ID]])))="",TRUE()),"",INDEX(tsk_ResourceNames,(ROW()-ROW(MSPTasks[[#Headers],[ID]])))&amp;"")</f>
        <v/>
      </c>
      <c r="L25" s="24" t="str">
        <f aca="false">IF(IFERROR(INDEX(tsk_Name,(ROW()-ROW(MSPTasks[[#Headers],[ID]])))="",TRUE()),"",IF(INDEX(tsk_IsSummary,(ROW()-ROW(MSPTasks[[#Headers],[ID]]))),"",ROUND(INDEX(tsk_Progress,(ROW()-ROW(MSPTasks[[#Headers],[ID]])))*100,0)))</f>
        <v/>
      </c>
      <c r="M25" s="126" t="str">
        <f aca="false">IF(IFERROR(INDEX(tsk_Name,(ROW()-ROW(MSPTasks[[#Headers],[ID]])))="",TRUE()),"",IF(N(INDEX(tsk_ActStart,(ROW()-ROW(MSPTasks[[#Headers],[ID]]))))=0,"",INDEX(tsk_ActStart,(ROW()-ROW(MSPTasks[[#Headers],[ID]])))))</f>
        <v/>
      </c>
      <c r="N25" s="126" t="str">
        <f aca="false">IF(IFERROR(INDEX(tsk_Name,(ROW()-ROW(MSPTasks[[#Headers],[ID]])))="",TRUE()),"",IF(N(INDEX(tsk_ActFinish,(ROW()-ROW(MSPTasks[[#Headers],[ID]]))))=0,"",INDEX(tsk_ActFinish,(ROW()-ROW(MSPTasks[[#Headers],[ID]])))))</f>
        <v/>
      </c>
      <c r="O25" s="126" t="str">
        <f aca="false">IF(IFERROR(INDEX(tsk_Name,(ROW()-ROW(MSPTasks[[#Headers],[ID]])))="",TRUE()),"",INDEX(tsk_PlanStart,(ROW()-ROW(MSPTasks[[#Headers],[ID]]))))</f>
        <v/>
      </c>
      <c r="P25" s="126"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5" s="126" t="str">
        <f aca="false">IF(IFERROR(INDEX(tsk_Name,(ROW()-ROW(MSPTasks[[#Headers],[ID]])))="",TRUE()),"",IF(OR(INDEX(tsk_IsSummary,(ROW()-ROW(MSPTasks[[#Headers],[ID]]))),INDEX(tsk_Mode,(ROW()-ROW(MSPTasks[[#Headers],[ID]])))="Manual"),"",IF(N(INDEX(tsk_ConstraintCode,(ROW()-ROW(MSPTasks[[#Headers],[ID]]))))&lt;2,"",INDEX(tsk_Constraint,(ROW()-ROW(MSPTasks[[#Headers],[ID]]))))))</f>
        <v/>
      </c>
      <c r="W25" s="126"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6" t="str">
        <f aca="false">IF(IFERROR(INDEX(tsk_Name,(ROW()-ROW(MSPTasks[[#Headers],[ID]])))="",TRUE()),"",INDEX(tsk_FcStart,(ROW()-ROW(MSPTasks[[#Headers],[ID]]))))</f>
        <v/>
      </c>
      <c r="H26" s="126"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IF(IFERROR(INDEX(tsk_Name,(ROW()-ROW(MSPTasks[[#Headers],[ID]])))="",TRUE()),"",INDEX(tsk_ResourceNames,(ROW()-ROW(MSPTasks[[#Headers],[ID]])))&amp;"")</f>
        <v/>
      </c>
      <c r="L26" s="24" t="str">
        <f aca="false">IF(IFERROR(INDEX(tsk_Name,(ROW()-ROW(MSPTasks[[#Headers],[ID]])))="",TRUE()),"",IF(INDEX(tsk_IsSummary,(ROW()-ROW(MSPTasks[[#Headers],[ID]]))),"",ROUND(INDEX(tsk_Progress,(ROW()-ROW(MSPTasks[[#Headers],[ID]])))*100,0)))</f>
        <v/>
      </c>
      <c r="M26" s="126" t="str">
        <f aca="false">IF(IFERROR(INDEX(tsk_Name,(ROW()-ROW(MSPTasks[[#Headers],[ID]])))="",TRUE()),"",IF(N(INDEX(tsk_ActStart,(ROW()-ROW(MSPTasks[[#Headers],[ID]]))))=0,"",INDEX(tsk_ActStart,(ROW()-ROW(MSPTasks[[#Headers],[ID]])))))</f>
        <v/>
      </c>
      <c r="N26" s="126" t="str">
        <f aca="false">IF(IFERROR(INDEX(tsk_Name,(ROW()-ROW(MSPTasks[[#Headers],[ID]])))="",TRUE()),"",IF(N(INDEX(tsk_ActFinish,(ROW()-ROW(MSPTasks[[#Headers],[ID]]))))=0,"",INDEX(tsk_ActFinish,(ROW()-ROW(MSPTasks[[#Headers],[ID]])))))</f>
        <v/>
      </c>
      <c r="O26" s="126" t="str">
        <f aca="false">IF(IFERROR(INDEX(tsk_Name,(ROW()-ROW(MSPTasks[[#Headers],[ID]])))="",TRUE()),"",INDEX(tsk_PlanStart,(ROW()-ROW(MSPTasks[[#Headers],[ID]]))))</f>
        <v/>
      </c>
      <c r="P26" s="126"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6" s="126" t="str">
        <f aca="false">IF(IFERROR(INDEX(tsk_Name,(ROW()-ROW(MSPTasks[[#Headers],[ID]])))="",TRUE()),"",IF(OR(INDEX(tsk_IsSummary,(ROW()-ROW(MSPTasks[[#Headers],[ID]]))),INDEX(tsk_Mode,(ROW()-ROW(MSPTasks[[#Headers],[ID]])))="Manual"),"",IF(N(INDEX(tsk_ConstraintCode,(ROW()-ROW(MSPTasks[[#Headers],[ID]]))))&lt;2,"",INDEX(tsk_Constraint,(ROW()-ROW(MSPTasks[[#Headers],[ID]]))))))</f>
        <v/>
      </c>
      <c r="W26" s="126"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6" t="str">
        <f aca="false">IF(IFERROR(INDEX(tsk_Name,(ROW()-ROW(MSPTasks[[#Headers],[ID]])))="",TRUE()),"",INDEX(tsk_FcStart,(ROW()-ROW(MSPTasks[[#Headers],[ID]]))))</f>
        <v/>
      </c>
      <c r="H27" s="126"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IF(IFERROR(INDEX(tsk_Name,(ROW()-ROW(MSPTasks[[#Headers],[ID]])))="",TRUE()),"",INDEX(tsk_ResourceNames,(ROW()-ROW(MSPTasks[[#Headers],[ID]])))&amp;"")</f>
        <v/>
      </c>
      <c r="L27" s="24" t="str">
        <f aca="false">IF(IFERROR(INDEX(tsk_Name,(ROW()-ROW(MSPTasks[[#Headers],[ID]])))="",TRUE()),"",IF(INDEX(tsk_IsSummary,(ROW()-ROW(MSPTasks[[#Headers],[ID]]))),"",ROUND(INDEX(tsk_Progress,(ROW()-ROW(MSPTasks[[#Headers],[ID]])))*100,0)))</f>
        <v/>
      </c>
      <c r="M27" s="126" t="str">
        <f aca="false">IF(IFERROR(INDEX(tsk_Name,(ROW()-ROW(MSPTasks[[#Headers],[ID]])))="",TRUE()),"",IF(N(INDEX(tsk_ActStart,(ROW()-ROW(MSPTasks[[#Headers],[ID]]))))=0,"",INDEX(tsk_ActStart,(ROW()-ROW(MSPTasks[[#Headers],[ID]])))))</f>
        <v/>
      </c>
      <c r="N27" s="126" t="str">
        <f aca="false">IF(IFERROR(INDEX(tsk_Name,(ROW()-ROW(MSPTasks[[#Headers],[ID]])))="",TRUE()),"",IF(N(INDEX(tsk_ActFinish,(ROW()-ROW(MSPTasks[[#Headers],[ID]]))))=0,"",INDEX(tsk_ActFinish,(ROW()-ROW(MSPTasks[[#Headers],[ID]])))))</f>
        <v/>
      </c>
      <c r="O27" s="126" t="str">
        <f aca="false">IF(IFERROR(INDEX(tsk_Name,(ROW()-ROW(MSPTasks[[#Headers],[ID]])))="",TRUE()),"",INDEX(tsk_PlanStart,(ROW()-ROW(MSPTasks[[#Headers],[ID]]))))</f>
        <v/>
      </c>
      <c r="P27" s="126"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7" s="126" t="str">
        <f aca="false">IF(IFERROR(INDEX(tsk_Name,(ROW()-ROW(MSPTasks[[#Headers],[ID]])))="",TRUE()),"",IF(OR(INDEX(tsk_IsSummary,(ROW()-ROW(MSPTasks[[#Headers],[ID]]))),INDEX(tsk_Mode,(ROW()-ROW(MSPTasks[[#Headers],[ID]])))="Manual"),"",IF(N(INDEX(tsk_ConstraintCode,(ROW()-ROW(MSPTasks[[#Headers],[ID]]))))&lt;2,"",INDEX(tsk_Constraint,(ROW()-ROW(MSPTasks[[#Headers],[ID]]))))))</f>
        <v/>
      </c>
      <c r="W27" s="126"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6" t="str">
        <f aca="false">IF(IFERROR(INDEX(tsk_Name,(ROW()-ROW(MSPTasks[[#Headers],[ID]])))="",TRUE()),"",INDEX(tsk_FcStart,(ROW()-ROW(MSPTasks[[#Headers],[ID]]))))</f>
        <v/>
      </c>
      <c r="H28" s="126"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IF(IFERROR(INDEX(tsk_Name,(ROW()-ROW(MSPTasks[[#Headers],[ID]])))="",TRUE()),"",INDEX(tsk_ResourceNames,(ROW()-ROW(MSPTasks[[#Headers],[ID]])))&amp;"")</f>
        <v/>
      </c>
      <c r="L28" s="24" t="str">
        <f aca="false">IF(IFERROR(INDEX(tsk_Name,(ROW()-ROW(MSPTasks[[#Headers],[ID]])))="",TRUE()),"",IF(INDEX(tsk_IsSummary,(ROW()-ROW(MSPTasks[[#Headers],[ID]]))),"",ROUND(INDEX(tsk_Progress,(ROW()-ROW(MSPTasks[[#Headers],[ID]])))*100,0)))</f>
        <v/>
      </c>
      <c r="M28" s="126" t="str">
        <f aca="false">IF(IFERROR(INDEX(tsk_Name,(ROW()-ROW(MSPTasks[[#Headers],[ID]])))="",TRUE()),"",IF(N(INDEX(tsk_ActStart,(ROW()-ROW(MSPTasks[[#Headers],[ID]]))))=0,"",INDEX(tsk_ActStart,(ROW()-ROW(MSPTasks[[#Headers],[ID]])))))</f>
        <v/>
      </c>
      <c r="N28" s="126" t="str">
        <f aca="false">IF(IFERROR(INDEX(tsk_Name,(ROW()-ROW(MSPTasks[[#Headers],[ID]])))="",TRUE()),"",IF(N(INDEX(tsk_ActFinish,(ROW()-ROW(MSPTasks[[#Headers],[ID]]))))=0,"",INDEX(tsk_ActFinish,(ROW()-ROW(MSPTasks[[#Headers],[ID]])))))</f>
        <v/>
      </c>
      <c r="O28" s="126" t="str">
        <f aca="false">IF(IFERROR(INDEX(tsk_Name,(ROW()-ROW(MSPTasks[[#Headers],[ID]])))="",TRUE()),"",INDEX(tsk_PlanStart,(ROW()-ROW(MSPTasks[[#Headers],[ID]]))))</f>
        <v/>
      </c>
      <c r="P28" s="126"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8" s="126" t="str">
        <f aca="false">IF(IFERROR(INDEX(tsk_Name,(ROW()-ROW(MSPTasks[[#Headers],[ID]])))="",TRUE()),"",IF(OR(INDEX(tsk_IsSummary,(ROW()-ROW(MSPTasks[[#Headers],[ID]]))),INDEX(tsk_Mode,(ROW()-ROW(MSPTasks[[#Headers],[ID]])))="Manual"),"",IF(N(INDEX(tsk_ConstraintCode,(ROW()-ROW(MSPTasks[[#Headers],[ID]]))))&lt;2,"",INDEX(tsk_Constraint,(ROW()-ROW(MSPTasks[[#Headers],[ID]]))))))</f>
        <v/>
      </c>
      <c r="W28" s="126"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6" t="str">
        <f aca="false">IF(IFERROR(INDEX(tsk_Name,(ROW()-ROW(MSPTasks[[#Headers],[ID]])))="",TRUE()),"",INDEX(tsk_FcStart,(ROW()-ROW(MSPTasks[[#Headers],[ID]]))))</f>
        <v/>
      </c>
      <c r="H29" s="126"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IF(IFERROR(INDEX(tsk_Name,(ROW()-ROW(MSPTasks[[#Headers],[ID]])))="",TRUE()),"",INDEX(tsk_ResourceNames,(ROW()-ROW(MSPTasks[[#Headers],[ID]])))&amp;"")</f>
        <v/>
      </c>
      <c r="L29" s="24" t="str">
        <f aca="false">IF(IFERROR(INDEX(tsk_Name,(ROW()-ROW(MSPTasks[[#Headers],[ID]])))="",TRUE()),"",IF(INDEX(tsk_IsSummary,(ROW()-ROW(MSPTasks[[#Headers],[ID]]))),"",ROUND(INDEX(tsk_Progress,(ROW()-ROW(MSPTasks[[#Headers],[ID]])))*100,0)))</f>
        <v/>
      </c>
      <c r="M29" s="126" t="str">
        <f aca="false">IF(IFERROR(INDEX(tsk_Name,(ROW()-ROW(MSPTasks[[#Headers],[ID]])))="",TRUE()),"",IF(N(INDEX(tsk_ActStart,(ROW()-ROW(MSPTasks[[#Headers],[ID]]))))=0,"",INDEX(tsk_ActStart,(ROW()-ROW(MSPTasks[[#Headers],[ID]])))))</f>
        <v/>
      </c>
      <c r="N29" s="126" t="str">
        <f aca="false">IF(IFERROR(INDEX(tsk_Name,(ROW()-ROW(MSPTasks[[#Headers],[ID]])))="",TRUE()),"",IF(N(INDEX(tsk_ActFinish,(ROW()-ROW(MSPTasks[[#Headers],[ID]]))))=0,"",INDEX(tsk_ActFinish,(ROW()-ROW(MSPTasks[[#Headers],[ID]])))))</f>
        <v/>
      </c>
      <c r="O29" s="126" t="str">
        <f aca="false">IF(IFERROR(INDEX(tsk_Name,(ROW()-ROW(MSPTasks[[#Headers],[ID]])))="",TRUE()),"",INDEX(tsk_PlanStart,(ROW()-ROW(MSPTasks[[#Headers],[ID]]))))</f>
        <v/>
      </c>
      <c r="P29" s="126"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9" s="126" t="str">
        <f aca="false">IF(IFERROR(INDEX(tsk_Name,(ROW()-ROW(MSPTasks[[#Headers],[ID]])))="",TRUE()),"",IF(OR(INDEX(tsk_IsSummary,(ROW()-ROW(MSPTasks[[#Headers],[ID]]))),INDEX(tsk_Mode,(ROW()-ROW(MSPTasks[[#Headers],[ID]])))="Manual"),"",IF(N(INDEX(tsk_ConstraintCode,(ROW()-ROW(MSPTasks[[#Headers],[ID]]))))&lt;2,"",INDEX(tsk_Constraint,(ROW()-ROW(MSPTasks[[#Headers],[ID]]))))))</f>
        <v/>
      </c>
      <c r="W29" s="126"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6" t="str">
        <f aca="false">IF(IFERROR(INDEX(tsk_Name,(ROW()-ROW(MSPTasks[[#Headers],[ID]])))="",TRUE()),"",INDEX(tsk_FcStart,(ROW()-ROW(MSPTasks[[#Headers],[ID]]))))</f>
        <v/>
      </c>
      <c r="H30" s="126"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IF(IFERROR(INDEX(tsk_Name,(ROW()-ROW(MSPTasks[[#Headers],[ID]])))="",TRUE()),"",INDEX(tsk_ResourceNames,(ROW()-ROW(MSPTasks[[#Headers],[ID]])))&amp;"")</f>
        <v/>
      </c>
      <c r="L30" s="24" t="str">
        <f aca="false">IF(IFERROR(INDEX(tsk_Name,(ROW()-ROW(MSPTasks[[#Headers],[ID]])))="",TRUE()),"",IF(INDEX(tsk_IsSummary,(ROW()-ROW(MSPTasks[[#Headers],[ID]]))),"",ROUND(INDEX(tsk_Progress,(ROW()-ROW(MSPTasks[[#Headers],[ID]])))*100,0)))</f>
        <v/>
      </c>
      <c r="M30" s="126" t="str">
        <f aca="false">IF(IFERROR(INDEX(tsk_Name,(ROW()-ROW(MSPTasks[[#Headers],[ID]])))="",TRUE()),"",IF(N(INDEX(tsk_ActStart,(ROW()-ROW(MSPTasks[[#Headers],[ID]]))))=0,"",INDEX(tsk_ActStart,(ROW()-ROW(MSPTasks[[#Headers],[ID]])))))</f>
        <v/>
      </c>
      <c r="N30" s="126" t="str">
        <f aca="false">IF(IFERROR(INDEX(tsk_Name,(ROW()-ROW(MSPTasks[[#Headers],[ID]])))="",TRUE()),"",IF(N(INDEX(tsk_ActFinish,(ROW()-ROW(MSPTasks[[#Headers],[ID]]))))=0,"",INDEX(tsk_ActFinish,(ROW()-ROW(MSPTasks[[#Headers],[ID]])))))</f>
        <v/>
      </c>
      <c r="O30" s="126" t="str">
        <f aca="false">IF(IFERROR(INDEX(tsk_Name,(ROW()-ROW(MSPTasks[[#Headers],[ID]])))="",TRUE()),"",INDEX(tsk_PlanStart,(ROW()-ROW(MSPTasks[[#Headers],[ID]]))))</f>
        <v/>
      </c>
      <c r="P30" s="126"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0" s="126" t="str">
        <f aca="false">IF(IFERROR(INDEX(tsk_Name,(ROW()-ROW(MSPTasks[[#Headers],[ID]])))="",TRUE()),"",IF(OR(INDEX(tsk_IsSummary,(ROW()-ROW(MSPTasks[[#Headers],[ID]]))),INDEX(tsk_Mode,(ROW()-ROW(MSPTasks[[#Headers],[ID]])))="Manual"),"",IF(N(INDEX(tsk_ConstraintCode,(ROW()-ROW(MSPTasks[[#Headers],[ID]]))))&lt;2,"",INDEX(tsk_Constraint,(ROW()-ROW(MSPTasks[[#Headers],[ID]]))))))</f>
        <v/>
      </c>
      <c r="W30" s="126"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6" t="str">
        <f aca="false">IF(IFERROR(INDEX(tsk_Name,(ROW()-ROW(MSPTasks[[#Headers],[ID]])))="",TRUE()),"",INDEX(tsk_FcStart,(ROW()-ROW(MSPTasks[[#Headers],[ID]]))))</f>
        <v/>
      </c>
      <c r="H31" s="126"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IF(IFERROR(INDEX(tsk_Name,(ROW()-ROW(MSPTasks[[#Headers],[ID]])))="",TRUE()),"",INDEX(tsk_ResourceNames,(ROW()-ROW(MSPTasks[[#Headers],[ID]])))&amp;"")</f>
        <v/>
      </c>
      <c r="L31" s="24" t="str">
        <f aca="false">IF(IFERROR(INDEX(tsk_Name,(ROW()-ROW(MSPTasks[[#Headers],[ID]])))="",TRUE()),"",IF(INDEX(tsk_IsSummary,(ROW()-ROW(MSPTasks[[#Headers],[ID]]))),"",ROUND(INDEX(tsk_Progress,(ROW()-ROW(MSPTasks[[#Headers],[ID]])))*100,0)))</f>
        <v/>
      </c>
      <c r="M31" s="126" t="str">
        <f aca="false">IF(IFERROR(INDEX(tsk_Name,(ROW()-ROW(MSPTasks[[#Headers],[ID]])))="",TRUE()),"",IF(N(INDEX(tsk_ActStart,(ROW()-ROW(MSPTasks[[#Headers],[ID]]))))=0,"",INDEX(tsk_ActStart,(ROW()-ROW(MSPTasks[[#Headers],[ID]])))))</f>
        <v/>
      </c>
      <c r="N31" s="126" t="str">
        <f aca="false">IF(IFERROR(INDEX(tsk_Name,(ROW()-ROW(MSPTasks[[#Headers],[ID]])))="",TRUE()),"",IF(N(INDEX(tsk_ActFinish,(ROW()-ROW(MSPTasks[[#Headers],[ID]]))))=0,"",INDEX(tsk_ActFinish,(ROW()-ROW(MSPTasks[[#Headers],[ID]])))))</f>
        <v/>
      </c>
      <c r="O31" s="126" t="str">
        <f aca="false">IF(IFERROR(INDEX(tsk_Name,(ROW()-ROW(MSPTasks[[#Headers],[ID]])))="",TRUE()),"",INDEX(tsk_PlanStart,(ROW()-ROW(MSPTasks[[#Headers],[ID]]))))</f>
        <v/>
      </c>
      <c r="P31" s="126"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1" s="126" t="str">
        <f aca="false">IF(IFERROR(INDEX(tsk_Name,(ROW()-ROW(MSPTasks[[#Headers],[ID]])))="",TRUE()),"",IF(OR(INDEX(tsk_IsSummary,(ROW()-ROW(MSPTasks[[#Headers],[ID]]))),INDEX(tsk_Mode,(ROW()-ROW(MSPTasks[[#Headers],[ID]])))="Manual"),"",IF(N(INDEX(tsk_ConstraintCode,(ROW()-ROW(MSPTasks[[#Headers],[ID]]))))&lt;2,"",INDEX(tsk_Constraint,(ROW()-ROW(MSPTasks[[#Headers],[ID]]))))))</f>
        <v/>
      </c>
      <c r="W31" s="126"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6" t="str">
        <f aca="false">IF(IFERROR(INDEX(tsk_Name,(ROW()-ROW(MSPTasks[[#Headers],[ID]])))="",TRUE()),"",INDEX(tsk_FcStart,(ROW()-ROW(MSPTasks[[#Headers],[ID]]))))</f>
        <v/>
      </c>
      <c r="H32" s="126"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IF(IFERROR(INDEX(tsk_Name,(ROW()-ROW(MSPTasks[[#Headers],[ID]])))="",TRUE()),"",INDEX(tsk_ResourceNames,(ROW()-ROW(MSPTasks[[#Headers],[ID]])))&amp;"")</f>
        <v/>
      </c>
      <c r="L32" s="24" t="str">
        <f aca="false">IF(IFERROR(INDEX(tsk_Name,(ROW()-ROW(MSPTasks[[#Headers],[ID]])))="",TRUE()),"",IF(INDEX(tsk_IsSummary,(ROW()-ROW(MSPTasks[[#Headers],[ID]]))),"",ROUND(INDEX(tsk_Progress,(ROW()-ROW(MSPTasks[[#Headers],[ID]])))*100,0)))</f>
        <v/>
      </c>
      <c r="M32" s="126" t="str">
        <f aca="false">IF(IFERROR(INDEX(tsk_Name,(ROW()-ROW(MSPTasks[[#Headers],[ID]])))="",TRUE()),"",IF(N(INDEX(tsk_ActStart,(ROW()-ROW(MSPTasks[[#Headers],[ID]]))))=0,"",INDEX(tsk_ActStart,(ROW()-ROW(MSPTasks[[#Headers],[ID]])))))</f>
        <v/>
      </c>
      <c r="N32" s="126" t="str">
        <f aca="false">IF(IFERROR(INDEX(tsk_Name,(ROW()-ROW(MSPTasks[[#Headers],[ID]])))="",TRUE()),"",IF(N(INDEX(tsk_ActFinish,(ROW()-ROW(MSPTasks[[#Headers],[ID]]))))=0,"",INDEX(tsk_ActFinish,(ROW()-ROW(MSPTasks[[#Headers],[ID]])))))</f>
        <v/>
      </c>
      <c r="O32" s="126" t="str">
        <f aca="false">IF(IFERROR(INDEX(tsk_Name,(ROW()-ROW(MSPTasks[[#Headers],[ID]])))="",TRUE()),"",INDEX(tsk_PlanStart,(ROW()-ROW(MSPTasks[[#Headers],[ID]]))))</f>
        <v/>
      </c>
      <c r="P32" s="126"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2" s="126" t="str">
        <f aca="false">IF(IFERROR(INDEX(tsk_Name,(ROW()-ROW(MSPTasks[[#Headers],[ID]])))="",TRUE()),"",IF(OR(INDEX(tsk_IsSummary,(ROW()-ROW(MSPTasks[[#Headers],[ID]]))),INDEX(tsk_Mode,(ROW()-ROW(MSPTasks[[#Headers],[ID]])))="Manual"),"",IF(N(INDEX(tsk_ConstraintCode,(ROW()-ROW(MSPTasks[[#Headers],[ID]]))))&lt;2,"",INDEX(tsk_Constraint,(ROW()-ROW(MSPTasks[[#Headers],[ID]]))))))</f>
        <v/>
      </c>
      <c r="W32" s="126"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6" t="str">
        <f aca="false">IF(IFERROR(INDEX(tsk_Name,(ROW()-ROW(MSPTasks[[#Headers],[ID]])))="",TRUE()),"",INDEX(tsk_FcStart,(ROW()-ROW(MSPTasks[[#Headers],[ID]]))))</f>
        <v/>
      </c>
      <c r="H33" s="126"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IF(IFERROR(INDEX(tsk_Name,(ROW()-ROW(MSPTasks[[#Headers],[ID]])))="",TRUE()),"",INDEX(tsk_ResourceNames,(ROW()-ROW(MSPTasks[[#Headers],[ID]])))&amp;"")</f>
        <v/>
      </c>
      <c r="L33" s="24" t="str">
        <f aca="false">IF(IFERROR(INDEX(tsk_Name,(ROW()-ROW(MSPTasks[[#Headers],[ID]])))="",TRUE()),"",IF(INDEX(tsk_IsSummary,(ROW()-ROW(MSPTasks[[#Headers],[ID]]))),"",ROUND(INDEX(tsk_Progress,(ROW()-ROW(MSPTasks[[#Headers],[ID]])))*100,0)))</f>
        <v/>
      </c>
      <c r="M33" s="126" t="str">
        <f aca="false">IF(IFERROR(INDEX(tsk_Name,(ROW()-ROW(MSPTasks[[#Headers],[ID]])))="",TRUE()),"",IF(N(INDEX(tsk_ActStart,(ROW()-ROW(MSPTasks[[#Headers],[ID]]))))=0,"",INDEX(tsk_ActStart,(ROW()-ROW(MSPTasks[[#Headers],[ID]])))))</f>
        <v/>
      </c>
      <c r="N33" s="126" t="str">
        <f aca="false">IF(IFERROR(INDEX(tsk_Name,(ROW()-ROW(MSPTasks[[#Headers],[ID]])))="",TRUE()),"",IF(N(INDEX(tsk_ActFinish,(ROW()-ROW(MSPTasks[[#Headers],[ID]]))))=0,"",INDEX(tsk_ActFinish,(ROW()-ROW(MSPTasks[[#Headers],[ID]])))))</f>
        <v/>
      </c>
      <c r="O33" s="126" t="str">
        <f aca="false">IF(IFERROR(INDEX(tsk_Name,(ROW()-ROW(MSPTasks[[#Headers],[ID]])))="",TRUE()),"",INDEX(tsk_PlanStart,(ROW()-ROW(MSPTasks[[#Headers],[ID]]))))</f>
        <v/>
      </c>
      <c r="P33" s="126"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3" s="126" t="str">
        <f aca="false">IF(IFERROR(INDEX(tsk_Name,(ROW()-ROW(MSPTasks[[#Headers],[ID]])))="",TRUE()),"",IF(OR(INDEX(tsk_IsSummary,(ROW()-ROW(MSPTasks[[#Headers],[ID]]))),INDEX(tsk_Mode,(ROW()-ROW(MSPTasks[[#Headers],[ID]])))="Manual"),"",IF(N(INDEX(tsk_ConstraintCode,(ROW()-ROW(MSPTasks[[#Headers],[ID]]))))&lt;2,"",INDEX(tsk_Constraint,(ROW()-ROW(MSPTasks[[#Headers],[ID]]))))))</f>
        <v/>
      </c>
      <c r="W33" s="126"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6" t="str">
        <f aca="false">IF(IFERROR(INDEX(tsk_Name,(ROW()-ROW(MSPTasks[[#Headers],[ID]])))="",TRUE()),"",INDEX(tsk_FcStart,(ROW()-ROW(MSPTasks[[#Headers],[ID]]))))</f>
        <v/>
      </c>
      <c r="H34" s="126"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IF(IFERROR(INDEX(tsk_Name,(ROW()-ROW(MSPTasks[[#Headers],[ID]])))="",TRUE()),"",INDEX(tsk_ResourceNames,(ROW()-ROW(MSPTasks[[#Headers],[ID]])))&amp;"")</f>
        <v/>
      </c>
      <c r="L34" s="24" t="str">
        <f aca="false">IF(IFERROR(INDEX(tsk_Name,(ROW()-ROW(MSPTasks[[#Headers],[ID]])))="",TRUE()),"",IF(INDEX(tsk_IsSummary,(ROW()-ROW(MSPTasks[[#Headers],[ID]]))),"",ROUND(INDEX(tsk_Progress,(ROW()-ROW(MSPTasks[[#Headers],[ID]])))*100,0)))</f>
        <v/>
      </c>
      <c r="M34" s="126" t="str">
        <f aca="false">IF(IFERROR(INDEX(tsk_Name,(ROW()-ROW(MSPTasks[[#Headers],[ID]])))="",TRUE()),"",IF(N(INDEX(tsk_ActStart,(ROW()-ROW(MSPTasks[[#Headers],[ID]]))))=0,"",INDEX(tsk_ActStart,(ROW()-ROW(MSPTasks[[#Headers],[ID]])))))</f>
        <v/>
      </c>
      <c r="N34" s="126" t="str">
        <f aca="false">IF(IFERROR(INDEX(tsk_Name,(ROW()-ROW(MSPTasks[[#Headers],[ID]])))="",TRUE()),"",IF(N(INDEX(tsk_ActFinish,(ROW()-ROW(MSPTasks[[#Headers],[ID]]))))=0,"",INDEX(tsk_ActFinish,(ROW()-ROW(MSPTasks[[#Headers],[ID]])))))</f>
        <v/>
      </c>
      <c r="O34" s="126" t="str">
        <f aca="false">IF(IFERROR(INDEX(tsk_Name,(ROW()-ROW(MSPTasks[[#Headers],[ID]])))="",TRUE()),"",INDEX(tsk_PlanStart,(ROW()-ROW(MSPTasks[[#Headers],[ID]]))))</f>
        <v/>
      </c>
      <c r="P34" s="126"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4" s="126" t="str">
        <f aca="false">IF(IFERROR(INDEX(tsk_Name,(ROW()-ROW(MSPTasks[[#Headers],[ID]])))="",TRUE()),"",IF(OR(INDEX(tsk_IsSummary,(ROW()-ROW(MSPTasks[[#Headers],[ID]]))),INDEX(tsk_Mode,(ROW()-ROW(MSPTasks[[#Headers],[ID]])))="Manual"),"",IF(N(INDEX(tsk_ConstraintCode,(ROW()-ROW(MSPTasks[[#Headers],[ID]]))))&lt;2,"",INDEX(tsk_Constraint,(ROW()-ROW(MSPTasks[[#Headers],[ID]]))))))</f>
        <v/>
      </c>
      <c r="W34" s="126"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6" t="str">
        <f aca="false">IF(IFERROR(INDEX(tsk_Name,(ROW()-ROW(MSPTasks[[#Headers],[ID]])))="",TRUE()),"",INDEX(tsk_FcStart,(ROW()-ROW(MSPTasks[[#Headers],[ID]]))))</f>
        <v/>
      </c>
      <c r="H35" s="126"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IF(IFERROR(INDEX(tsk_Name,(ROW()-ROW(MSPTasks[[#Headers],[ID]])))="",TRUE()),"",INDEX(tsk_ResourceNames,(ROW()-ROW(MSPTasks[[#Headers],[ID]])))&amp;"")</f>
        <v/>
      </c>
      <c r="L35" s="24" t="str">
        <f aca="false">IF(IFERROR(INDEX(tsk_Name,(ROW()-ROW(MSPTasks[[#Headers],[ID]])))="",TRUE()),"",IF(INDEX(tsk_IsSummary,(ROW()-ROW(MSPTasks[[#Headers],[ID]]))),"",ROUND(INDEX(tsk_Progress,(ROW()-ROW(MSPTasks[[#Headers],[ID]])))*100,0)))</f>
        <v/>
      </c>
      <c r="M35" s="126" t="str">
        <f aca="false">IF(IFERROR(INDEX(tsk_Name,(ROW()-ROW(MSPTasks[[#Headers],[ID]])))="",TRUE()),"",IF(N(INDEX(tsk_ActStart,(ROW()-ROW(MSPTasks[[#Headers],[ID]]))))=0,"",INDEX(tsk_ActStart,(ROW()-ROW(MSPTasks[[#Headers],[ID]])))))</f>
        <v/>
      </c>
      <c r="N35" s="126" t="str">
        <f aca="false">IF(IFERROR(INDEX(tsk_Name,(ROW()-ROW(MSPTasks[[#Headers],[ID]])))="",TRUE()),"",IF(N(INDEX(tsk_ActFinish,(ROW()-ROW(MSPTasks[[#Headers],[ID]]))))=0,"",INDEX(tsk_ActFinish,(ROW()-ROW(MSPTasks[[#Headers],[ID]])))))</f>
        <v/>
      </c>
      <c r="O35" s="126" t="str">
        <f aca="false">IF(IFERROR(INDEX(tsk_Name,(ROW()-ROW(MSPTasks[[#Headers],[ID]])))="",TRUE()),"",INDEX(tsk_PlanStart,(ROW()-ROW(MSPTasks[[#Headers],[ID]]))))</f>
        <v/>
      </c>
      <c r="P35" s="126"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5" s="126" t="str">
        <f aca="false">IF(IFERROR(INDEX(tsk_Name,(ROW()-ROW(MSPTasks[[#Headers],[ID]])))="",TRUE()),"",IF(OR(INDEX(tsk_IsSummary,(ROW()-ROW(MSPTasks[[#Headers],[ID]]))),INDEX(tsk_Mode,(ROW()-ROW(MSPTasks[[#Headers],[ID]])))="Manual"),"",IF(N(INDEX(tsk_ConstraintCode,(ROW()-ROW(MSPTasks[[#Headers],[ID]]))))&lt;2,"",INDEX(tsk_Constraint,(ROW()-ROW(MSPTasks[[#Headers],[ID]]))))))</f>
        <v/>
      </c>
      <c r="W35" s="126"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6" t="str">
        <f aca="false">IF(IFERROR(INDEX(tsk_Name,(ROW()-ROW(MSPTasks[[#Headers],[ID]])))="",TRUE()),"",INDEX(tsk_FcStart,(ROW()-ROW(MSPTasks[[#Headers],[ID]]))))</f>
        <v/>
      </c>
      <c r="H36" s="126"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IF(IFERROR(INDEX(tsk_Name,(ROW()-ROW(MSPTasks[[#Headers],[ID]])))="",TRUE()),"",INDEX(tsk_ResourceNames,(ROW()-ROW(MSPTasks[[#Headers],[ID]])))&amp;"")</f>
        <v/>
      </c>
      <c r="L36" s="24" t="str">
        <f aca="false">IF(IFERROR(INDEX(tsk_Name,(ROW()-ROW(MSPTasks[[#Headers],[ID]])))="",TRUE()),"",IF(INDEX(tsk_IsSummary,(ROW()-ROW(MSPTasks[[#Headers],[ID]]))),"",ROUND(INDEX(tsk_Progress,(ROW()-ROW(MSPTasks[[#Headers],[ID]])))*100,0)))</f>
        <v/>
      </c>
      <c r="M36" s="126" t="str">
        <f aca="false">IF(IFERROR(INDEX(tsk_Name,(ROW()-ROW(MSPTasks[[#Headers],[ID]])))="",TRUE()),"",IF(N(INDEX(tsk_ActStart,(ROW()-ROW(MSPTasks[[#Headers],[ID]]))))=0,"",INDEX(tsk_ActStart,(ROW()-ROW(MSPTasks[[#Headers],[ID]])))))</f>
        <v/>
      </c>
      <c r="N36" s="126" t="str">
        <f aca="false">IF(IFERROR(INDEX(tsk_Name,(ROW()-ROW(MSPTasks[[#Headers],[ID]])))="",TRUE()),"",IF(N(INDEX(tsk_ActFinish,(ROW()-ROW(MSPTasks[[#Headers],[ID]]))))=0,"",INDEX(tsk_ActFinish,(ROW()-ROW(MSPTasks[[#Headers],[ID]])))))</f>
        <v/>
      </c>
      <c r="O36" s="126" t="str">
        <f aca="false">IF(IFERROR(INDEX(tsk_Name,(ROW()-ROW(MSPTasks[[#Headers],[ID]])))="",TRUE()),"",INDEX(tsk_PlanStart,(ROW()-ROW(MSPTasks[[#Headers],[ID]]))))</f>
        <v/>
      </c>
      <c r="P36" s="126"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6" s="126" t="str">
        <f aca="false">IF(IFERROR(INDEX(tsk_Name,(ROW()-ROW(MSPTasks[[#Headers],[ID]])))="",TRUE()),"",IF(OR(INDEX(tsk_IsSummary,(ROW()-ROW(MSPTasks[[#Headers],[ID]]))),INDEX(tsk_Mode,(ROW()-ROW(MSPTasks[[#Headers],[ID]])))="Manual"),"",IF(N(INDEX(tsk_ConstraintCode,(ROW()-ROW(MSPTasks[[#Headers],[ID]]))))&lt;2,"",INDEX(tsk_Constraint,(ROW()-ROW(MSPTasks[[#Headers],[ID]]))))))</f>
        <v/>
      </c>
      <c r="W36" s="126"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6" t="str">
        <f aca="false">IF(IFERROR(INDEX(tsk_Name,(ROW()-ROW(MSPTasks[[#Headers],[ID]])))="",TRUE()),"",INDEX(tsk_FcStart,(ROW()-ROW(MSPTasks[[#Headers],[ID]]))))</f>
        <v/>
      </c>
      <c r="H37" s="126"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IF(IFERROR(INDEX(tsk_Name,(ROW()-ROW(MSPTasks[[#Headers],[ID]])))="",TRUE()),"",INDEX(tsk_ResourceNames,(ROW()-ROW(MSPTasks[[#Headers],[ID]])))&amp;"")</f>
        <v/>
      </c>
      <c r="L37" s="24" t="str">
        <f aca="false">IF(IFERROR(INDEX(tsk_Name,(ROW()-ROW(MSPTasks[[#Headers],[ID]])))="",TRUE()),"",IF(INDEX(tsk_IsSummary,(ROW()-ROW(MSPTasks[[#Headers],[ID]]))),"",ROUND(INDEX(tsk_Progress,(ROW()-ROW(MSPTasks[[#Headers],[ID]])))*100,0)))</f>
        <v/>
      </c>
      <c r="M37" s="126" t="str">
        <f aca="false">IF(IFERROR(INDEX(tsk_Name,(ROW()-ROW(MSPTasks[[#Headers],[ID]])))="",TRUE()),"",IF(N(INDEX(tsk_ActStart,(ROW()-ROW(MSPTasks[[#Headers],[ID]]))))=0,"",INDEX(tsk_ActStart,(ROW()-ROW(MSPTasks[[#Headers],[ID]])))))</f>
        <v/>
      </c>
      <c r="N37" s="126" t="str">
        <f aca="false">IF(IFERROR(INDEX(tsk_Name,(ROW()-ROW(MSPTasks[[#Headers],[ID]])))="",TRUE()),"",IF(N(INDEX(tsk_ActFinish,(ROW()-ROW(MSPTasks[[#Headers],[ID]]))))=0,"",INDEX(tsk_ActFinish,(ROW()-ROW(MSPTasks[[#Headers],[ID]])))))</f>
        <v/>
      </c>
      <c r="O37" s="126" t="str">
        <f aca="false">IF(IFERROR(INDEX(tsk_Name,(ROW()-ROW(MSPTasks[[#Headers],[ID]])))="",TRUE()),"",INDEX(tsk_PlanStart,(ROW()-ROW(MSPTasks[[#Headers],[ID]]))))</f>
        <v/>
      </c>
      <c r="P37" s="126"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7" s="126" t="str">
        <f aca="false">IF(IFERROR(INDEX(tsk_Name,(ROW()-ROW(MSPTasks[[#Headers],[ID]])))="",TRUE()),"",IF(OR(INDEX(tsk_IsSummary,(ROW()-ROW(MSPTasks[[#Headers],[ID]]))),INDEX(tsk_Mode,(ROW()-ROW(MSPTasks[[#Headers],[ID]])))="Manual"),"",IF(N(INDEX(tsk_ConstraintCode,(ROW()-ROW(MSPTasks[[#Headers],[ID]]))))&lt;2,"",INDEX(tsk_Constraint,(ROW()-ROW(MSPTasks[[#Headers],[ID]]))))))</f>
        <v/>
      </c>
      <c r="W37" s="126"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6" t="str">
        <f aca="false">IF(IFERROR(INDEX(tsk_Name,(ROW()-ROW(MSPTasks[[#Headers],[ID]])))="",TRUE()),"",INDEX(tsk_FcStart,(ROW()-ROW(MSPTasks[[#Headers],[ID]]))))</f>
        <v/>
      </c>
      <c r="H38" s="126"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IF(IFERROR(INDEX(tsk_Name,(ROW()-ROW(MSPTasks[[#Headers],[ID]])))="",TRUE()),"",INDEX(tsk_ResourceNames,(ROW()-ROW(MSPTasks[[#Headers],[ID]])))&amp;"")</f>
        <v/>
      </c>
      <c r="L38" s="24" t="str">
        <f aca="false">IF(IFERROR(INDEX(tsk_Name,(ROW()-ROW(MSPTasks[[#Headers],[ID]])))="",TRUE()),"",IF(INDEX(tsk_IsSummary,(ROW()-ROW(MSPTasks[[#Headers],[ID]]))),"",ROUND(INDEX(tsk_Progress,(ROW()-ROW(MSPTasks[[#Headers],[ID]])))*100,0)))</f>
        <v/>
      </c>
      <c r="M38" s="126" t="str">
        <f aca="false">IF(IFERROR(INDEX(tsk_Name,(ROW()-ROW(MSPTasks[[#Headers],[ID]])))="",TRUE()),"",IF(N(INDEX(tsk_ActStart,(ROW()-ROW(MSPTasks[[#Headers],[ID]]))))=0,"",INDEX(tsk_ActStart,(ROW()-ROW(MSPTasks[[#Headers],[ID]])))))</f>
        <v/>
      </c>
      <c r="N38" s="126" t="str">
        <f aca="false">IF(IFERROR(INDEX(tsk_Name,(ROW()-ROW(MSPTasks[[#Headers],[ID]])))="",TRUE()),"",IF(N(INDEX(tsk_ActFinish,(ROW()-ROW(MSPTasks[[#Headers],[ID]]))))=0,"",INDEX(tsk_ActFinish,(ROW()-ROW(MSPTasks[[#Headers],[ID]])))))</f>
        <v/>
      </c>
      <c r="O38" s="126" t="str">
        <f aca="false">IF(IFERROR(INDEX(tsk_Name,(ROW()-ROW(MSPTasks[[#Headers],[ID]])))="",TRUE()),"",INDEX(tsk_PlanStart,(ROW()-ROW(MSPTasks[[#Headers],[ID]]))))</f>
        <v/>
      </c>
      <c r="P38" s="126"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8" s="126" t="str">
        <f aca="false">IF(IFERROR(INDEX(tsk_Name,(ROW()-ROW(MSPTasks[[#Headers],[ID]])))="",TRUE()),"",IF(OR(INDEX(tsk_IsSummary,(ROW()-ROW(MSPTasks[[#Headers],[ID]]))),INDEX(tsk_Mode,(ROW()-ROW(MSPTasks[[#Headers],[ID]])))="Manual"),"",IF(N(INDEX(tsk_ConstraintCode,(ROW()-ROW(MSPTasks[[#Headers],[ID]]))))&lt;2,"",INDEX(tsk_Constraint,(ROW()-ROW(MSPTasks[[#Headers],[ID]]))))))</f>
        <v/>
      </c>
      <c r="W38" s="126"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6" t="str">
        <f aca="false">IF(IFERROR(INDEX(tsk_Name,(ROW()-ROW(MSPTasks[[#Headers],[ID]])))="",TRUE()),"",INDEX(tsk_FcStart,(ROW()-ROW(MSPTasks[[#Headers],[ID]]))))</f>
        <v/>
      </c>
      <c r="H39" s="126"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IF(IFERROR(INDEX(tsk_Name,(ROW()-ROW(MSPTasks[[#Headers],[ID]])))="",TRUE()),"",INDEX(tsk_ResourceNames,(ROW()-ROW(MSPTasks[[#Headers],[ID]])))&amp;"")</f>
        <v/>
      </c>
      <c r="L39" s="24" t="str">
        <f aca="false">IF(IFERROR(INDEX(tsk_Name,(ROW()-ROW(MSPTasks[[#Headers],[ID]])))="",TRUE()),"",IF(INDEX(tsk_IsSummary,(ROW()-ROW(MSPTasks[[#Headers],[ID]]))),"",ROUND(INDEX(tsk_Progress,(ROW()-ROW(MSPTasks[[#Headers],[ID]])))*100,0)))</f>
        <v/>
      </c>
      <c r="M39" s="126" t="str">
        <f aca="false">IF(IFERROR(INDEX(tsk_Name,(ROW()-ROW(MSPTasks[[#Headers],[ID]])))="",TRUE()),"",IF(N(INDEX(tsk_ActStart,(ROW()-ROW(MSPTasks[[#Headers],[ID]]))))=0,"",INDEX(tsk_ActStart,(ROW()-ROW(MSPTasks[[#Headers],[ID]])))))</f>
        <v/>
      </c>
      <c r="N39" s="126" t="str">
        <f aca="false">IF(IFERROR(INDEX(tsk_Name,(ROW()-ROW(MSPTasks[[#Headers],[ID]])))="",TRUE()),"",IF(N(INDEX(tsk_ActFinish,(ROW()-ROW(MSPTasks[[#Headers],[ID]]))))=0,"",INDEX(tsk_ActFinish,(ROW()-ROW(MSPTasks[[#Headers],[ID]])))))</f>
        <v/>
      </c>
      <c r="O39" s="126" t="str">
        <f aca="false">IF(IFERROR(INDEX(tsk_Name,(ROW()-ROW(MSPTasks[[#Headers],[ID]])))="",TRUE()),"",INDEX(tsk_PlanStart,(ROW()-ROW(MSPTasks[[#Headers],[ID]]))))</f>
        <v/>
      </c>
      <c r="P39" s="126"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9" s="126" t="str">
        <f aca="false">IF(IFERROR(INDEX(tsk_Name,(ROW()-ROW(MSPTasks[[#Headers],[ID]])))="",TRUE()),"",IF(OR(INDEX(tsk_IsSummary,(ROW()-ROW(MSPTasks[[#Headers],[ID]]))),INDEX(tsk_Mode,(ROW()-ROW(MSPTasks[[#Headers],[ID]])))="Manual"),"",IF(N(INDEX(tsk_ConstraintCode,(ROW()-ROW(MSPTasks[[#Headers],[ID]]))))&lt;2,"",INDEX(tsk_Constraint,(ROW()-ROW(MSPTasks[[#Headers],[ID]]))))))</f>
        <v/>
      </c>
      <c r="W39" s="126"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6" t="str">
        <f aca="false">IF(IFERROR(INDEX(tsk_Name,(ROW()-ROW(MSPTasks[[#Headers],[ID]])))="",TRUE()),"",INDEX(tsk_FcStart,(ROW()-ROW(MSPTasks[[#Headers],[ID]]))))</f>
        <v/>
      </c>
      <c r="H40" s="126"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IF(IFERROR(INDEX(tsk_Name,(ROW()-ROW(MSPTasks[[#Headers],[ID]])))="",TRUE()),"",INDEX(tsk_ResourceNames,(ROW()-ROW(MSPTasks[[#Headers],[ID]])))&amp;"")</f>
        <v/>
      </c>
      <c r="L40" s="24" t="str">
        <f aca="false">IF(IFERROR(INDEX(tsk_Name,(ROW()-ROW(MSPTasks[[#Headers],[ID]])))="",TRUE()),"",IF(INDEX(tsk_IsSummary,(ROW()-ROW(MSPTasks[[#Headers],[ID]]))),"",ROUND(INDEX(tsk_Progress,(ROW()-ROW(MSPTasks[[#Headers],[ID]])))*100,0)))</f>
        <v/>
      </c>
      <c r="M40" s="126" t="str">
        <f aca="false">IF(IFERROR(INDEX(tsk_Name,(ROW()-ROW(MSPTasks[[#Headers],[ID]])))="",TRUE()),"",IF(N(INDEX(tsk_ActStart,(ROW()-ROW(MSPTasks[[#Headers],[ID]]))))=0,"",INDEX(tsk_ActStart,(ROW()-ROW(MSPTasks[[#Headers],[ID]])))))</f>
        <v/>
      </c>
      <c r="N40" s="126" t="str">
        <f aca="false">IF(IFERROR(INDEX(tsk_Name,(ROW()-ROW(MSPTasks[[#Headers],[ID]])))="",TRUE()),"",IF(N(INDEX(tsk_ActFinish,(ROW()-ROW(MSPTasks[[#Headers],[ID]]))))=0,"",INDEX(tsk_ActFinish,(ROW()-ROW(MSPTasks[[#Headers],[ID]])))))</f>
        <v/>
      </c>
      <c r="O40" s="126" t="str">
        <f aca="false">IF(IFERROR(INDEX(tsk_Name,(ROW()-ROW(MSPTasks[[#Headers],[ID]])))="",TRUE()),"",INDEX(tsk_PlanStart,(ROW()-ROW(MSPTasks[[#Headers],[ID]]))))</f>
        <v/>
      </c>
      <c r="P40" s="126"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0" s="126" t="str">
        <f aca="false">IF(IFERROR(INDEX(tsk_Name,(ROW()-ROW(MSPTasks[[#Headers],[ID]])))="",TRUE()),"",IF(OR(INDEX(tsk_IsSummary,(ROW()-ROW(MSPTasks[[#Headers],[ID]]))),INDEX(tsk_Mode,(ROW()-ROW(MSPTasks[[#Headers],[ID]])))="Manual"),"",IF(N(INDEX(tsk_ConstraintCode,(ROW()-ROW(MSPTasks[[#Headers],[ID]]))))&lt;2,"",INDEX(tsk_Constraint,(ROW()-ROW(MSPTasks[[#Headers],[ID]]))))))</f>
        <v/>
      </c>
      <c r="W40" s="126"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6" t="str">
        <f aca="false">IF(IFERROR(INDEX(tsk_Name,(ROW()-ROW(MSPTasks[[#Headers],[ID]])))="",TRUE()),"",INDEX(tsk_FcStart,(ROW()-ROW(MSPTasks[[#Headers],[ID]]))))</f>
        <v/>
      </c>
      <c r="H41" s="126"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IF(IFERROR(INDEX(tsk_Name,(ROW()-ROW(MSPTasks[[#Headers],[ID]])))="",TRUE()),"",INDEX(tsk_ResourceNames,(ROW()-ROW(MSPTasks[[#Headers],[ID]])))&amp;"")</f>
        <v/>
      </c>
      <c r="L41" s="24" t="str">
        <f aca="false">IF(IFERROR(INDEX(tsk_Name,(ROW()-ROW(MSPTasks[[#Headers],[ID]])))="",TRUE()),"",IF(INDEX(tsk_IsSummary,(ROW()-ROW(MSPTasks[[#Headers],[ID]]))),"",ROUND(INDEX(tsk_Progress,(ROW()-ROW(MSPTasks[[#Headers],[ID]])))*100,0)))</f>
        <v/>
      </c>
      <c r="M41" s="126" t="str">
        <f aca="false">IF(IFERROR(INDEX(tsk_Name,(ROW()-ROW(MSPTasks[[#Headers],[ID]])))="",TRUE()),"",IF(N(INDEX(tsk_ActStart,(ROW()-ROW(MSPTasks[[#Headers],[ID]]))))=0,"",INDEX(tsk_ActStart,(ROW()-ROW(MSPTasks[[#Headers],[ID]])))))</f>
        <v/>
      </c>
      <c r="N41" s="126" t="str">
        <f aca="false">IF(IFERROR(INDEX(tsk_Name,(ROW()-ROW(MSPTasks[[#Headers],[ID]])))="",TRUE()),"",IF(N(INDEX(tsk_ActFinish,(ROW()-ROW(MSPTasks[[#Headers],[ID]]))))=0,"",INDEX(tsk_ActFinish,(ROW()-ROW(MSPTasks[[#Headers],[ID]])))))</f>
        <v/>
      </c>
      <c r="O41" s="126" t="str">
        <f aca="false">IF(IFERROR(INDEX(tsk_Name,(ROW()-ROW(MSPTasks[[#Headers],[ID]])))="",TRUE()),"",INDEX(tsk_PlanStart,(ROW()-ROW(MSPTasks[[#Headers],[ID]]))))</f>
        <v/>
      </c>
      <c r="P41" s="126"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1" s="126" t="str">
        <f aca="false">IF(IFERROR(INDEX(tsk_Name,(ROW()-ROW(MSPTasks[[#Headers],[ID]])))="",TRUE()),"",IF(OR(INDEX(tsk_IsSummary,(ROW()-ROW(MSPTasks[[#Headers],[ID]]))),INDEX(tsk_Mode,(ROW()-ROW(MSPTasks[[#Headers],[ID]])))="Manual"),"",IF(N(INDEX(tsk_ConstraintCode,(ROW()-ROW(MSPTasks[[#Headers],[ID]]))))&lt;2,"",INDEX(tsk_Constraint,(ROW()-ROW(MSPTasks[[#Headers],[ID]]))))))</f>
        <v/>
      </c>
      <c r="W41" s="126"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6" t="str">
        <f aca="false">IF(IFERROR(INDEX(tsk_Name,(ROW()-ROW(MSPTasks[[#Headers],[ID]])))="",TRUE()),"",INDEX(tsk_FcStart,(ROW()-ROW(MSPTasks[[#Headers],[ID]]))))</f>
        <v/>
      </c>
      <c r="H42" s="126"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IF(IFERROR(INDEX(tsk_Name,(ROW()-ROW(MSPTasks[[#Headers],[ID]])))="",TRUE()),"",INDEX(tsk_ResourceNames,(ROW()-ROW(MSPTasks[[#Headers],[ID]])))&amp;"")</f>
        <v/>
      </c>
      <c r="L42" s="24" t="str">
        <f aca="false">IF(IFERROR(INDEX(tsk_Name,(ROW()-ROW(MSPTasks[[#Headers],[ID]])))="",TRUE()),"",IF(INDEX(tsk_IsSummary,(ROW()-ROW(MSPTasks[[#Headers],[ID]]))),"",ROUND(INDEX(tsk_Progress,(ROW()-ROW(MSPTasks[[#Headers],[ID]])))*100,0)))</f>
        <v/>
      </c>
      <c r="M42" s="126" t="str">
        <f aca="false">IF(IFERROR(INDEX(tsk_Name,(ROW()-ROW(MSPTasks[[#Headers],[ID]])))="",TRUE()),"",IF(N(INDEX(tsk_ActStart,(ROW()-ROW(MSPTasks[[#Headers],[ID]]))))=0,"",INDEX(tsk_ActStart,(ROW()-ROW(MSPTasks[[#Headers],[ID]])))))</f>
        <v/>
      </c>
      <c r="N42" s="126" t="str">
        <f aca="false">IF(IFERROR(INDEX(tsk_Name,(ROW()-ROW(MSPTasks[[#Headers],[ID]])))="",TRUE()),"",IF(N(INDEX(tsk_ActFinish,(ROW()-ROW(MSPTasks[[#Headers],[ID]]))))=0,"",INDEX(tsk_ActFinish,(ROW()-ROW(MSPTasks[[#Headers],[ID]])))))</f>
        <v/>
      </c>
      <c r="O42" s="126" t="str">
        <f aca="false">IF(IFERROR(INDEX(tsk_Name,(ROW()-ROW(MSPTasks[[#Headers],[ID]])))="",TRUE()),"",INDEX(tsk_PlanStart,(ROW()-ROW(MSPTasks[[#Headers],[ID]]))))</f>
        <v/>
      </c>
      <c r="P42" s="126"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2" s="126" t="str">
        <f aca="false">IF(IFERROR(INDEX(tsk_Name,(ROW()-ROW(MSPTasks[[#Headers],[ID]])))="",TRUE()),"",IF(OR(INDEX(tsk_IsSummary,(ROW()-ROW(MSPTasks[[#Headers],[ID]]))),INDEX(tsk_Mode,(ROW()-ROW(MSPTasks[[#Headers],[ID]])))="Manual"),"",IF(N(INDEX(tsk_ConstraintCode,(ROW()-ROW(MSPTasks[[#Headers],[ID]]))))&lt;2,"",INDEX(tsk_Constraint,(ROW()-ROW(MSPTasks[[#Headers],[ID]]))))))</f>
        <v/>
      </c>
      <c r="W42" s="126"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6" t="str">
        <f aca="false">IF(IFERROR(INDEX(tsk_Name,(ROW()-ROW(MSPTasks[[#Headers],[ID]])))="",TRUE()),"",INDEX(tsk_FcStart,(ROW()-ROW(MSPTasks[[#Headers],[ID]]))))</f>
        <v/>
      </c>
      <c r="H43" s="126"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IF(IFERROR(INDEX(tsk_Name,(ROW()-ROW(MSPTasks[[#Headers],[ID]])))="",TRUE()),"",INDEX(tsk_ResourceNames,(ROW()-ROW(MSPTasks[[#Headers],[ID]])))&amp;"")</f>
        <v/>
      </c>
      <c r="L43" s="24" t="str">
        <f aca="false">IF(IFERROR(INDEX(tsk_Name,(ROW()-ROW(MSPTasks[[#Headers],[ID]])))="",TRUE()),"",IF(INDEX(tsk_IsSummary,(ROW()-ROW(MSPTasks[[#Headers],[ID]]))),"",ROUND(INDEX(tsk_Progress,(ROW()-ROW(MSPTasks[[#Headers],[ID]])))*100,0)))</f>
        <v/>
      </c>
      <c r="M43" s="126" t="str">
        <f aca="false">IF(IFERROR(INDEX(tsk_Name,(ROW()-ROW(MSPTasks[[#Headers],[ID]])))="",TRUE()),"",IF(N(INDEX(tsk_ActStart,(ROW()-ROW(MSPTasks[[#Headers],[ID]]))))=0,"",INDEX(tsk_ActStart,(ROW()-ROW(MSPTasks[[#Headers],[ID]])))))</f>
        <v/>
      </c>
      <c r="N43" s="126" t="str">
        <f aca="false">IF(IFERROR(INDEX(tsk_Name,(ROW()-ROW(MSPTasks[[#Headers],[ID]])))="",TRUE()),"",IF(N(INDEX(tsk_ActFinish,(ROW()-ROW(MSPTasks[[#Headers],[ID]]))))=0,"",INDEX(tsk_ActFinish,(ROW()-ROW(MSPTasks[[#Headers],[ID]])))))</f>
        <v/>
      </c>
      <c r="O43" s="126" t="str">
        <f aca="false">IF(IFERROR(INDEX(tsk_Name,(ROW()-ROW(MSPTasks[[#Headers],[ID]])))="",TRUE()),"",INDEX(tsk_PlanStart,(ROW()-ROW(MSPTasks[[#Headers],[ID]]))))</f>
        <v/>
      </c>
      <c r="P43" s="126"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3" s="126" t="str">
        <f aca="false">IF(IFERROR(INDEX(tsk_Name,(ROW()-ROW(MSPTasks[[#Headers],[ID]])))="",TRUE()),"",IF(OR(INDEX(tsk_IsSummary,(ROW()-ROW(MSPTasks[[#Headers],[ID]]))),INDEX(tsk_Mode,(ROW()-ROW(MSPTasks[[#Headers],[ID]])))="Manual"),"",IF(N(INDEX(tsk_ConstraintCode,(ROW()-ROW(MSPTasks[[#Headers],[ID]]))))&lt;2,"",INDEX(tsk_Constraint,(ROW()-ROW(MSPTasks[[#Headers],[ID]]))))))</f>
        <v/>
      </c>
      <c r="W43" s="126"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6" t="str">
        <f aca="false">IF(IFERROR(INDEX(tsk_Name,(ROW()-ROW(MSPTasks[[#Headers],[ID]])))="",TRUE()),"",INDEX(tsk_FcStart,(ROW()-ROW(MSPTasks[[#Headers],[ID]]))))</f>
        <v/>
      </c>
      <c r="H44" s="126"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IF(IFERROR(INDEX(tsk_Name,(ROW()-ROW(MSPTasks[[#Headers],[ID]])))="",TRUE()),"",INDEX(tsk_ResourceNames,(ROW()-ROW(MSPTasks[[#Headers],[ID]])))&amp;"")</f>
        <v/>
      </c>
      <c r="L44" s="24" t="str">
        <f aca="false">IF(IFERROR(INDEX(tsk_Name,(ROW()-ROW(MSPTasks[[#Headers],[ID]])))="",TRUE()),"",IF(INDEX(tsk_IsSummary,(ROW()-ROW(MSPTasks[[#Headers],[ID]]))),"",ROUND(INDEX(tsk_Progress,(ROW()-ROW(MSPTasks[[#Headers],[ID]])))*100,0)))</f>
        <v/>
      </c>
      <c r="M44" s="126" t="str">
        <f aca="false">IF(IFERROR(INDEX(tsk_Name,(ROW()-ROW(MSPTasks[[#Headers],[ID]])))="",TRUE()),"",IF(N(INDEX(tsk_ActStart,(ROW()-ROW(MSPTasks[[#Headers],[ID]]))))=0,"",INDEX(tsk_ActStart,(ROW()-ROW(MSPTasks[[#Headers],[ID]])))))</f>
        <v/>
      </c>
      <c r="N44" s="126" t="str">
        <f aca="false">IF(IFERROR(INDEX(tsk_Name,(ROW()-ROW(MSPTasks[[#Headers],[ID]])))="",TRUE()),"",IF(N(INDEX(tsk_ActFinish,(ROW()-ROW(MSPTasks[[#Headers],[ID]]))))=0,"",INDEX(tsk_ActFinish,(ROW()-ROW(MSPTasks[[#Headers],[ID]])))))</f>
        <v/>
      </c>
      <c r="O44" s="126" t="str">
        <f aca="false">IF(IFERROR(INDEX(tsk_Name,(ROW()-ROW(MSPTasks[[#Headers],[ID]])))="",TRUE()),"",INDEX(tsk_PlanStart,(ROW()-ROW(MSPTasks[[#Headers],[ID]]))))</f>
        <v/>
      </c>
      <c r="P44" s="126"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4" s="126" t="str">
        <f aca="false">IF(IFERROR(INDEX(tsk_Name,(ROW()-ROW(MSPTasks[[#Headers],[ID]])))="",TRUE()),"",IF(OR(INDEX(tsk_IsSummary,(ROW()-ROW(MSPTasks[[#Headers],[ID]]))),INDEX(tsk_Mode,(ROW()-ROW(MSPTasks[[#Headers],[ID]])))="Manual"),"",IF(N(INDEX(tsk_ConstraintCode,(ROW()-ROW(MSPTasks[[#Headers],[ID]]))))&lt;2,"",INDEX(tsk_Constraint,(ROW()-ROW(MSPTasks[[#Headers],[ID]]))))))</f>
        <v/>
      </c>
      <c r="W44" s="126"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6" t="str">
        <f aca="false">IF(IFERROR(INDEX(tsk_Name,(ROW()-ROW(MSPTasks[[#Headers],[ID]])))="",TRUE()),"",INDEX(tsk_FcStart,(ROW()-ROW(MSPTasks[[#Headers],[ID]]))))</f>
        <v/>
      </c>
      <c r="H45" s="126"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IF(IFERROR(INDEX(tsk_Name,(ROW()-ROW(MSPTasks[[#Headers],[ID]])))="",TRUE()),"",INDEX(tsk_ResourceNames,(ROW()-ROW(MSPTasks[[#Headers],[ID]])))&amp;"")</f>
        <v/>
      </c>
      <c r="L45" s="24" t="str">
        <f aca="false">IF(IFERROR(INDEX(tsk_Name,(ROW()-ROW(MSPTasks[[#Headers],[ID]])))="",TRUE()),"",IF(INDEX(tsk_IsSummary,(ROW()-ROW(MSPTasks[[#Headers],[ID]]))),"",ROUND(INDEX(tsk_Progress,(ROW()-ROW(MSPTasks[[#Headers],[ID]])))*100,0)))</f>
        <v/>
      </c>
      <c r="M45" s="126" t="str">
        <f aca="false">IF(IFERROR(INDEX(tsk_Name,(ROW()-ROW(MSPTasks[[#Headers],[ID]])))="",TRUE()),"",IF(N(INDEX(tsk_ActStart,(ROW()-ROW(MSPTasks[[#Headers],[ID]]))))=0,"",INDEX(tsk_ActStart,(ROW()-ROW(MSPTasks[[#Headers],[ID]])))))</f>
        <v/>
      </c>
      <c r="N45" s="126" t="str">
        <f aca="false">IF(IFERROR(INDEX(tsk_Name,(ROW()-ROW(MSPTasks[[#Headers],[ID]])))="",TRUE()),"",IF(N(INDEX(tsk_ActFinish,(ROW()-ROW(MSPTasks[[#Headers],[ID]]))))=0,"",INDEX(tsk_ActFinish,(ROW()-ROW(MSPTasks[[#Headers],[ID]])))))</f>
        <v/>
      </c>
      <c r="O45" s="126" t="str">
        <f aca="false">IF(IFERROR(INDEX(tsk_Name,(ROW()-ROW(MSPTasks[[#Headers],[ID]])))="",TRUE()),"",INDEX(tsk_PlanStart,(ROW()-ROW(MSPTasks[[#Headers],[ID]]))))</f>
        <v/>
      </c>
      <c r="P45" s="126"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5" s="126" t="str">
        <f aca="false">IF(IFERROR(INDEX(tsk_Name,(ROW()-ROW(MSPTasks[[#Headers],[ID]])))="",TRUE()),"",IF(OR(INDEX(tsk_IsSummary,(ROW()-ROW(MSPTasks[[#Headers],[ID]]))),INDEX(tsk_Mode,(ROW()-ROW(MSPTasks[[#Headers],[ID]])))="Manual"),"",IF(N(INDEX(tsk_ConstraintCode,(ROW()-ROW(MSPTasks[[#Headers],[ID]]))))&lt;2,"",INDEX(tsk_Constraint,(ROW()-ROW(MSPTasks[[#Headers],[ID]]))))))</f>
        <v/>
      </c>
      <c r="W45" s="126"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6" t="str">
        <f aca="false">IF(IFERROR(INDEX(tsk_Name,(ROW()-ROW(MSPTasks[[#Headers],[ID]])))="",TRUE()),"",INDEX(tsk_FcStart,(ROW()-ROW(MSPTasks[[#Headers],[ID]]))))</f>
        <v/>
      </c>
      <c r="H46" s="126"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IF(IFERROR(INDEX(tsk_Name,(ROW()-ROW(MSPTasks[[#Headers],[ID]])))="",TRUE()),"",INDEX(tsk_ResourceNames,(ROW()-ROW(MSPTasks[[#Headers],[ID]])))&amp;"")</f>
        <v/>
      </c>
      <c r="L46" s="24" t="str">
        <f aca="false">IF(IFERROR(INDEX(tsk_Name,(ROW()-ROW(MSPTasks[[#Headers],[ID]])))="",TRUE()),"",IF(INDEX(tsk_IsSummary,(ROW()-ROW(MSPTasks[[#Headers],[ID]]))),"",ROUND(INDEX(tsk_Progress,(ROW()-ROW(MSPTasks[[#Headers],[ID]])))*100,0)))</f>
        <v/>
      </c>
      <c r="M46" s="126" t="str">
        <f aca="false">IF(IFERROR(INDEX(tsk_Name,(ROW()-ROW(MSPTasks[[#Headers],[ID]])))="",TRUE()),"",IF(N(INDEX(tsk_ActStart,(ROW()-ROW(MSPTasks[[#Headers],[ID]]))))=0,"",INDEX(tsk_ActStart,(ROW()-ROW(MSPTasks[[#Headers],[ID]])))))</f>
        <v/>
      </c>
      <c r="N46" s="126" t="str">
        <f aca="false">IF(IFERROR(INDEX(tsk_Name,(ROW()-ROW(MSPTasks[[#Headers],[ID]])))="",TRUE()),"",IF(N(INDEX(tsk_ActFinish,(ROW()-ROW(MSPTasks[[#Headers],[ID]]))))=0,"",INDEX(tsk_ActFinish,(ROW()-ROW(MSPTasks[[#Headers],[ID]])))))</f>
        <v/>
      </c>
      <c r="O46" s="126" t="str">
        <f aca="false">IF(IFERROR(INDEX(tsk_Name,(ROW()-ROW(MSPTasks[[#Headers],[ID]])))="",TRUE()),"",INDEX(tsk_PlanStart,(ROW()-ROW(MSPTasks[[#Headers],[ID]]))))</f>
        <v/>
      </c>
      <c r="P46" s="126"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6" s="126" t="str">
        <f aca="false">IF(IFERROR(INDEX(tsk_Name,(ROW()-ROW(MSPTasks[[#Headers],[ID]])))="",TRUE()),"",IF(OR(INDEX(tsk_IsSummary,(ROW()-ROW(MSPTasks[[#Headers],[ID]]))),INDEX(tsk_Mode,(ROW()-ROW(MSPTasks[[#Headers],[ID]])))="Manual"),"",IF(N(INDEX(tsk_ConstraintCode,(ROW()-ROW(MSPTasks[[#Headers],[ID]]))))&lt;2,"",INDEX(tsk_Constraint,(ROW()-ROW(MSPTasks[[#Headers],[ID]]))))))</f>
        <v/>
      </c>
      <c r="W46" s="126"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6" t="str">
        <f aca="false">IF(IFERROR(INDEX(tsk_Name,(ROW()-ROW(MSPTasks[[#Headers],[ID]])))="",TRUE()),"",INDEX(tsk_FcStart,(ROW()-ROW(MSPTasks[[#Headers],[ID]]))))</f>
        <v/>
      </c>
      <c r="H47" s="126"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IF(IFERROR(INDEX(tsk_Name,(ROW()-ROW(MSPTasks[[#Headers],[ID]])))="",TRUE()),"",INDEX(tsk_ResourceNames,(ROW()-ROW(MSPTasks[[#Headers],[ID]])))&amp;"")</f>
        <v/>
      </c>
      <c r="L47" s="24" t="str">
        <f aca="false">IF(IFERROR(INDEX(tsk_Name,(ROW()-ROW(MSPTasks[[#Headers],[ID]])))="",TRUE()),"",IF(INDEX(tsk_IsSummary,(ROW()-ROW(MSPTasks[[#Headers],[ID]]))),"",ROUND(INDEX(tsk_Progress,(ROW()-ROW(MSPTasks[[#Headers],[ID]])))*100,0)))</f>
        <v/>
      </c>
      <c r="M47" s="126" t="str">
        <f aca="false">IF(IFERROR(INDEX(tsk_Name,(ROW()-ROW(MSPTasks[[#Headers],[ID]])))="",TRUE()),"",IF(N(INDEX(tsk_ActStart,(ROW()-ROW(MSPTasks[[#Headers],[ID]]))))=0,"",INDEX(tsk_ActStart,(ROW()-ROW(MSPTasks[[#Headers],[ID]])))))</f>
        <v/>
      </c>
      <c r="N47" s="126" t="str">
        <f aca="false">IF(IFERROR(INDEX(tsk_Name,(ROW()-ROW(MSPTasks[[#Headers],[ID]])))="",TRUE()),"",IF(N(INDEX(tsk_ActFinish,(ROW()-ROW(MSPTasks[[#Headers],[ID]]))))=0,"",INDEX(tsk_ActFinish,(ROW()-ROW(MSPTasks[[#Headers],[ID]])))))</f>
        <v/>
      </c>
      <c r="O47" s="126" t="str">
        <f aca="false">IF(IFERROR(INDEX(tsk_Name,(ROW()-ROW(MSPTasks[[#Headers],[ID]])))="",TRUE()),"",INDEX(tsk_PlanStart,(ROW()-ROW(MSPTasks[[#Headers],[ID]]))))</f>
        <v/>
      </c>
      <c r="P47" s="126"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7" s="126" t="str">
        <f aca="false">IF(IFERROR(INDEX(tsk_Name,(ROW()-ROW(MSPTasks[[#Headers],[ID]])))="",TRUE()),"",IF(OR(INDEX(tsk_IsSummary,(ROW()-ROW(MSPTasks[[#Headers],[ID]]))),INDEX(tsk_Mode,(ROW()-ROW(MSPTasks[[#Headers],[ID]])))="Manual"),"",IF(N(INDEX(tsk_ConstraintCode,(ROW()-ROW(MSPTasks[[#Headers],[ID]]))))&lt;2,"",INDEX(tsk_Constraint,(ROW()-ROW(MSPTasks[[#Headers],[ID]]))))))</f>
        <v/>
      </c>
      <c r="W47" s="126"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6" t="str">
        <f aca="false">IF(IFERROR(INDEX(tsk_Name,(ROW()-ROW(MSPTasks[[#Headers],[ID]])))="",TRUE()),"",INDEX(tsk_FcStart,(ROW()-ROW(MSPTasks[[#Headers],[ID]]))))</f>
        <v/>
      </c>
      <c r="H48" s="126"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IF(IFERROR(INDEX(tsk_Name,(ROW()-ROW(MSPTasks[[#Headers],[ID]])))="",TRUE()),"",INDEX(tsk_ResourceNames,(ROW()-ROW(MSPTasks[[#Headers],[ID]])))&amp;"")</f>
        <v/>
      </c>
      <c r="L48" s="24" t="str">
        <f aca="false">IF(IFERROR(INDEX(tsk_Name,(ROW()-ROW(MSPTasks[[#Headers],[ID]])))="",TRUE()),"",IF(INDEX(tsk_IsSummary,(ROW()-ROW(MSPTasks[[#Headers],[ID]]))),"",ROUND(INDEX(tsk_Progress,(ROW()-ROW(MSPTasks[[#Headers],[ID]])))*100,0)))</f>
        <v/>
      </c>
      <c r="M48" s="126" t="str">
        <f aca="false">IF(IFERROR(INDEX(tsk_Name,(ROW()-ROW(MSPTasks[[#Headers],[ID]])))="",TRUE()),"",IF(N(INDEX(tsk_ActStart,(ROW()-ROW(MSPTasks[[#Headers],[ID]]))))=0,"",INDEX(tsk_ActStart,(ROW()-ROW(MSPTasks[[#Headers],[ID]])))))</f>
        <v/>
      </c>
      <c r="N48" s="126" t="str">
        <f aca="false">IF(IFERROR(INDEX(tsk_Name,(ROW()-ROW(MSPTasks[[#Headers],[ID]])))="",TRUE()),"",IF(N(INDEX(tsk_ActFinish,(ROW()-ROW(MSPTasks[[#Headers],[ID]]))))=0,"",INDEX(tsk_ActFinish,(ROW()-ROW(MSPTasks[[#Headers],[ID]])))))</f>
        <v/>
      </c>
      <c r="O48" s="126" t="str">
        <f aca="false">IF(IFERROR(INDEX(tsk_Name,(ROW()-ROW(MSPTasks[[#Headers],[ID]])))="",TRUE()),"",INDEX(tsk_PlanStart,(ROW()-ROW(MSPTasks[[#Headers],[ID]]))))</f>
        <v/>
      </c>
      <c r="P48" s="126"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8" s="126" t="str">
        <f aca="false">IF(IFERROR(INDEX(tsk_Name,(ROW()-ROW(MSPTasks[[#Headers],[ID]])))="",TRUE()),"",IF(OR(INDEX(tsk_IsSummary,(ROW()-ROW(MSPTasks[[#Headers],[ID]]))),INDEX(tsk_Mode,(ROW()-ROW(MSPTasks[[#Headers],[ID]])))="Manual"),"",IF(N(INDEX(tsk_ConstraintCode,(ROW()-ROW(MSPTasks[[#Headers],[ID]]))))&lt;2,"",INDEX(tsk_Constraint,(ROW()-ROW(MSPTasks[[#Headers],[ID]]))))))</f>
        <v/>
      </c>
      <c r="W48" s="126"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6" t="str">
        <f aca="false">IF(IFERROR(INDEX(tsk_Name,(ROW()-ROW(MSPTasks[[#Headers],[ID]])))="",TRUE()),"",INDEX(tsk_FcStart,(ROW()-ROW(MSPTasks[[#Headers],[ID]]))))</f>
        <v/>
      </c>
      <c r="H49" s="126"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IF(IFERROR(INDEX(tsk_Name,(ROW()-ROW(MSPTasks[[#Headers],[ID]])))="",TRUE()),"",INDEX(tsk_ResourceNames,(ROW()-ROW(MSPTasks[[#Headers],[ID]])))&amp;"")</f>
        <v/>
      </c>
      <c r="L49" s="24" t="str">
        <f aca="false">IF(IFERROR(INDEX(tsk_Name,(ROW()-ROW(MSPTasks[[#Headers],[ID]])))="",TRUE()),"",IF(INDEX(tsk_IsSummary,(ROW()-ROW(MSPTasks[[#Headers],[ID]]))),"",ROUND(INDEX(tsk_Progress,(ROW()-ROW(MSPTasks[[#Headers],[ID]])))*100,0)))</f>
        <v/>
      </c>
      <c r="M49" s="126" t="str">
        <f aca="false">IF(IFERROR(INDEX(tsk_Name,(ROW()-ROW(MSPTasks[[#Headers],[ID]])))="",TRUE()),"",IF(N(INDEX(tsk_ActStart,(ROW()-ROW(MSPTasks[[#Headers],[ID]]))))=0,"",INDEX(tsk_ActStart,(ROW()-ROW(MSPTasks[[#Headers],[ID]])))))</f>
        <v/>
      </c>
      <c r="N49" s="126" t="str">
        <f aca="false">IF(IFERROR(INDEX(tsk_Name,(ROW()-ROW(MSPTasks[[#Headers],[ID]])))="",TRUE()),"",IF(N(INDEX(tsk_ActFinish,(ROW()-ROW(MSPTasks[[#Headers],[ID]]))))=0,"",INDEX(tsk_ActFinish,(ROW()-ROW(MSPTasks[[#Headers],[ID]])))))</f>
        <v/>
      </c>
      <c r="O49" s="126" t="str">
        <f aca="false">IF(IFERROR(INDEX(tsk_Name,(ROW()-ROW(MSPTasks[[#Headers],[ID]])))="",TRUE()),"",INDEX(tsk_PlanStart,(ROW()-ROW(MSPTasks[[#Headers],[ID]]))))</f>
        <v/>
      </c>
      <c r="P49" s="126"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9" s="126" t="str">
        <f aca="false">IF(IFERROR(INDEX(tsk_Name,(ROW()-ROW(MSPTasks[[#Headers],[ID]])))="",TRUE()),"",IF(OR(INDEX(tsk_IsSummary,(ROW()-ROW(MSPTasks[[#Headers],[ID]]))),INDEX(tsk_Mode,(ROW()-ROW(MSPTasks[[#Headers],[ID]])))="Manual"),"",IF(N(INDEX(tsk_ConstraintCode,(ROW()-ROW(MSPTasks[[#Headers],[ID]]))))&lt;2,"",INDEX(tsk_Constraint,(ROW()-ROW(MSPTasks[[#Headers],[ID]]))))))</f>
        <v/>
      </c>
      <c r="W49" s="126"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6" t="str">
        <f aca="false">IF(IFERROR(INDEX(tsk_Name,(ROW()-ROW(MSPTasks[[#Headers],[ID]])))="",TRUE()),"",INDEX(tsk_FcStart,(ROW()-ROW(MSPTasks[[#Headers],[ID]]))))</f>
        <v/>
      </c>
      <c r="H50" s="126"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IF(IFERROR(INDEX(tsk_Name,(ROW()-ROW(MSPTasks[[#Headers],[ID]])))="",TRUE()),"",INDEX(tsk_ResourceNames,(ROW()-ROW(MSPTasks[[#Headers],[ID]])))&amp;"")</f>
        <v/>
      </c>
      <c r="L50" s="24" t="str">
        <f aca="false">IF(IFERROR(INDEX(tsk_Name,(ROW()-ROW(MSPTasks[[#Headers],[ID]])))="",TRUE()),"",IF(INDEX(tsk_IsSummary,(ROW()-ROW(MSPTasks[[#Headers],[ID]]))),"",ROUND(INDEX(tsk_Progress,(ROW()-ROW(MSPTasks[[#Headers],[ID]])))*100,0)))</f>
        <v/>
      </c>
      <c r="M50" s="126" t="str">
        <f aca="false">IF(IFERROR(INDEX(tsk_Name,(ROW()-ROW(MSPTasks[[#Headers],[ID]])))="",TRUE()),"",IF(N(INDEX(tsk_ActStart,(ROW()-ROW(MSPTasks[[#Headers],[ID]]))))=0,"",INDEX(tsk_ActStart,(ROW()-ROW(MSPTasks[[#Headers],[ID]])))))</f>
        <v/>
      </c>
      <c r="N50" s="126" t="str">
        <f aca="false">IF(IFERROR(INDEX(tsk_Name,(ROW()-ROW(MSPTasks[[#Headers],[ID]])))="",TRUE()),"",IF(N(INDEX(tsk_ActFinish,(ROW()-ROW(MSPTasks[[#Headers],[ID]]))))=0,"",INDEX(tsk_ActFinish,(ROW()-ROW(MSPTasks[[#Headers],[ID]])))))</f>
        <v/>
      </c>
      <c r="O50" s="126" t="str">
        <f aca="false">IF(IFERROR(INDEX(tsk_Name,(ROW()-ROW(MSPTasks[[#Headers],[ID]])))="",TRUE()),"",INDEX(tsk_PlanStart,(ROW()-ROW(MSPTasks[[#Headers],[ID]]))))</f>
        <v/>
      </c>
      <c r="P50" s="126"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0" s="126" t="str">
        <f aca="false">IF(IFERROR(INDEX(tsk_Name,(ROW()-ROW(MSPTasks[[#Headers],[ID]])))="",TRUE()),"",IF(OR(INDEX(tsk_IsSummary,(ROW()-ROW(MSPTasks[[#Headers],[ID]]))),INDEX(tsk_Mode,(ROW()-ROW(MSPTasks[[#Headers],[ID]])))="Manual"),"",IF(N(INDEX(tsk_ConstraintCode,(ROW()-ROW(MSPTasks[[#Headers],[ID]]))))&lt;2,"",INDEX(tsk_Constraint,(ROW()-ROW(MSPTasks[[#Headers],[ID]]))))))</f>
        <v/>
      </c>
      <c r="W50" s="126"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6" t="str">
        <f aca="false">IF(IFERROR(INDEX(tsk_Name,(ROW()-ROW(MSPTasks[[#Headers],[ID]])))="",TRUE()),"",INDEX(tsk_FcStart,(ROW()-ROW(MSPTasks[[#Headers],[ID]]))))</f>
        <v/>
      </c>
      <c r="H51" s="126"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IF(IFERROR(INDEX(tsk_Name,(ROW()-ROW(MSPTasks[[#Headers],[ID]])))="",TRUE()),"",INDEX(tsk_ResourceNames,(ROW()-ROW(MSPTasks[[#Headers],[ID]])))&amp;"")</f>
        <v/>
      </c>
      <c r="L51" s="24" t="str">
        <f aca="false">IF(IFERROR(INDEX(tsk_Name,(ROW()-ROW(MSPTasks[[#Headers],[ID]])))="",TRUE()),"",IF(INDEX(tsk_IsSummary,(ROW()-ROW(MSPTasks[[#Headers],[ID]]))),"",ROUND(INDEX(tsk_Progress,(ROW()-ROW(MSPTasks[[#Headers],[ID]])))*100,0)))</f>
        <v/>
      </c>
      <c r="M51" s="126" t="str">
        <f aca="false">IF(IFERROR(INDEX(tsk_Name,(ROW()-ROW(MSPTasks[[#Headers],[ID]])))="",TRUE()),"",IF(N(INDEX(tsk_ActStart,(ROW()-ROW(MSPTasks[[#Headers],[ID]]))))=0,"",INDEX(tsk_ActStart,(ROW()-ROW(MSPTasks[[#Headers],[ID]])))))</f>
        <v/>
      </c>
      <c r="N51" s="126" t="str">
        <f aca="false">IF(IFERROR(INDEX(tsk_Name,(ROW()-ROW(MSPTasks[[#Headers],[ID]])))="",TRUE()),"",IF(N(INDEX(tsk_ActFinish,(ROW()-ROW(MSPTasks[[#Headers],[ID]]))))=0,"",INDEX(tsk_ActFinish,(ROW()-ROW(MSPTasks[[#Headers],[ID]])))))</f>
        <v/>
      </c>
      <c r="O51" s="126" t="str">
        <f aca="false">IF(IFERROR(INDEX(tsk_Name,(ROW()-ROW(MSPTasks[[#Headers],[ID]])))="",TRUE()),"",INDEX(tsk_PlanStart,(ROW()-ROW(MSPTasks[[#Headers],[ID]]))))</f>
        <v/>
      </c>
      <c r="P51" s="126"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1" s="126" t="str">
        <f aca="false">IF(IFERROR(INDEX(tsk_Name,(ROW()-ROW(MSPTasks[[#Headers],[ID]])))="",TRUE()),"",IF(OR(INDEX(tsk_IsSummary,(ROW()-ROW(MSPTasks[[#Headers],[ID]]))),INDEX(tsk_Mode,(ROW()-ROW(MSPTasks[[#Headers],[ID]])))="Manual"),"",IF(N(INDEX(tsk_ConstraintCode,(ROW()-ROW(MSPTasks[[#Headers],[ID]]))))&lt;2,"",INDEX(tsk_Constraint,(ROW()-ROW(MSPTasks[[#Headers],[ID]]))))))</f>
        <v/>
      </c>
      <c r="W51" s="126"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6" t="str">
        <f aca="false">IF(IFERROR(INDEX(tsk_Name,(ROW()-ROW(MSPTasks[[#Headers],[ID]])))="",TRUE()),"",INDEX(tsk_FcStart,(ROW()-ROW(MSPTasks[[#Headers],[ID]]))))</f>
        <v/>
      </c>
      <c r="H52" s="126"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IF(IFERROR(INDEX(tsk_Name,(ROW()-ROW(MSPTasks[[#Headers],[ID]])))="",TRUE()),"",INDEX(tsk_ResourceNames,(ROW()-ROW(MSPTasks[[#Headers],[ID]])))&amp;"")</f>
        <v/>
      </c>
      <c r="L52" s="24" t="str">
        <f aca="false">IF(IFERROR(INDEX(tsk_Name,(ROW()-ROW(MSPTasks[[#Headers],[ID]])))="",TRUE()),"",IF(INDEX(tsk_IsSummary,(ROW()-ROW(MSPTasks[[#Headers],[ID]]))),"",ROUND(INDEX(tsk_Progress,(ROW()-ROW(MSPTasks[[#Headers],[ID]])))*100,0)))</f>
        <v/>
      </c>
      <c r="M52" s="126" t="str">
        <f aca="false">IF(IFERROR(INDEX(tsk_Name,(ROW()-ROW(MSPTasks[[#Headers],[ID]])))="",TRUE()),"",IF(N(INDEX(tsk_ActStart,(ROW()-ROW(MSPTasks[[#Headers],[ID]]))))=0,"",INDEX(tsk_ActStart,(ROW()-ROW(MSPTasks[[#Headers],[ID]])))))</f>
        <v/>
      </c>
      <c r="N52" s="126" t="str">
        <f aca="false">IF(IFERROR(INDEX(tsk_Name,(ROW()-ROW(MSPTasks[[#Headers],[ID]])))="",TRUE()),"",IF(N(INDEX(tsk_ActFinish,(ROW()-ROW(MSPTasks[[#Headers],[ID]]))))=0,"",INDEX(tsk_ActFinish,(ROW()-ROW(MSPTasks[[#Headers],[ID]])))))</f>
        <v/>
      </c>
      <c r="O52" s="126" t="str">
        <f aca="false">IF(IFERROR(INDEX(tsk_Name,(ROW()-ROW(MSPTasks[[#Headers],[ID]])))="",TRUE()),"",INDEX(tsk_PlanStart,(ROW()-ROW(MSPTasks[[#Headers],[ID]]))))</f>
        <v/>
      </c>
      <c r="P52" s="126"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2" s="126" t="str">
        <f aca="false">IF(IFERROR(INDEX(tsk_Name,(ROW()-ROW(MSPTasks[[#Headers],[ID]])))="",TRUE()),"",IF(OR(INDEX(tsk_IsSummary,(ROW()-ROW(MSPTasks[[#Headers],[ID]]))),INDEX(tsk_Mode,(ROW()-ROW(MSPTasks[[#Headers],[ID]])))="Manual"),"",IF(N(INDEX(tsk_ConstraintCode,(ROW()-ROW(MSPTasks[[#Headers],[ID]]))))&lt;2,"",INDEX(tsk_Constraint,(ROW()-ROW(MSPTasks[[#Headers],[ID]]))))))</f>
        <v/>
      </c>
      <c r="W52" s="126"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6" t="str">
        <f aca="false">IF(IFERROR(INDEX(tsk_Name,(ROW()-ROW(MSPTasks[[#Headers],[ID]])))="",TRUE()),"",INDEX(tsk_FcStart,(ROW()-ROW(MSPTasks[[#Headers],[ID]]))))</f>
        <v/>
      </c>
      <c r="H53" s="126"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IF(IFERROR(INDEX(tsk_Name,(ROW()-ROW(MSPTasks[[#Headers],[ID]])))="",TRUE()),"",INDEX(tsk_ResourceNames,(ROW()-ROW(MSPTasks[[#Headers],[ID]])))&amp;"")</f>
        <v/>
      </c>
      <c r="L53" s="24" t="str">
        <f aca="false">IF(IFERROR(INDEX(tsk_Name,(ROW()-ROW(MSPTasks[[#Headers],[ID]])))="",TRUE()),"",IF(INDEX(tsk_IsSummary,(ROW()-ROW(MSPTasks[[#Headers],[ID]]))),"",ROUND(INDEX(tsk_Progress,(ROW()-ROW(MSPTasks[[#Headers],[ID]])))*100,0)))</f>
        <v/>
      </c>
      <c r="M53" s="126" t="str">
        <f aca="false">IF(IFERROR(INDEX(tsk_Name,(ROW()-ROW(MSPTasks[[#Headers],[ID]])))="",TRUE()),"",IF(N(INDEX(tsk_ActStart,(ROW()-ROW(MSPTasks[[#Headers],[ID]]))))=0,"",INDEX(tsk_ActStart,(ROW()-ROW(MSPTasks[[#Headers],[ID]])))))</f>
        <v/>
      </c>
      <c r="N53" s="126" t="str">
        <f aca="false">IF(IFERROR(INDEX(tsk_Name,(ROW()-ROW(MSPTasks[[#Headers],[ID]])))="",TRUE()),"",IF(N(INDEX(tsk_ActFinish,(ROW()-ROW(MSPTasks[[#Headers],[ID]]))))=0,"",INDEX(tsk_ActFinish,(ROW()-ROW(MSPTasks[[#Headers],[ID]])))))</f>
        <v/>
      </c>
      <c r="O53" s="126" t="str">
        <f aca="false">IF(IFERROR(INDEX(tsk_Name,(ROW()-ROW(MSPTasks[[#Headers],[ID]])))="",TRUE()),"",INDEX(tsk_PlanStart,(ROW()-ROW(MSPTasks[[#Headers],[ID]]))))</f>
        <v/>
      </c>
      <c r="P53" s="126"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3" s="126" t="str">
        <f aca="false">IF(IFERROR(INDEX(tsk_Name,(ROW()-ROW(MSPTasks[[#Headers],[ID]])))="",TRUE()),"",IF(OR(INDEX(tsk_IsSummary,(ROW()-ROW(MSPTasks[[#Headers],[ID]]))),INDEX(tsk_Mode,(ROW()-ROW(MSPTasks[[#Headers],[ID]])))="Manual"),"",IF(N(INDEX(tsk_ConstraintCode,(ROW()-ROW(MSPTasks[[#Headers],[ID]]))))&lt;2,"",INDEX(tsk_Constraint,(ROW()-ROW(MSPTasks[[#Headers],[ID]]))))))</f>
        <v/>
      </c>
      <c r="W53" s="126"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6" t="str">
        <f aca="false">IF(IFERROR(INDEX(tsk_Name,(ROW()-ROW(MSPTasks[[#Headers],[ID]])))="",TRUE()),"",INDEX(tsk_FcStart,(ROW()-ROW(MSPTasks[[#Headers],[ID]]))))</f>
        <v/>
      </c>
      <c r="H54" s="126"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IF(IFERROR(INDEX(tsk_Name,(ROW()-ROW(MSPTasks[[#Headers],[ID]])))="",TRUE()),"",INDEX(tsk_ResourceNames,(ROW()-ROW(MSPTasks[[#Headers],[ID]])))&amp;"")</f>
        <v/>
      </c>
      <c r="L54" s="24" t="str">
        <f aca="false">IF(IFERROR(INDEX(tsk_Name,(ROW()-ROW(MSPTasks[[#Headers],[ID]])))="",TRUE()),"",IF(INDEX(tsk_IsSummary,(ROW()-ROW(MSPTasks[[#Headers],[ID]]))),"",ROUND(INDEX(tsk_Progress,(ROW()-ROW(MSPTasks[[#Headers],[ID]])))*100,0)))</f>
        <v/>
      </c>
      <c r="M54" s="126" t="str">
        <f aca="false">IF(IFERROR(INDEX(tsk_Name,(ROW()-ROW(MSPTasks[[#Headers],[ID]])))="",TRUE()),"",IF(N(INDEX(tsk_ActStart,(ROW()-ROW(MSPTasks[[#Headers],[ID]]))))=0,"",INDEX(tsk_ActStart,(ROW()-ROW(MSPTasks[[#Headers],[ID]])))))</f>
        <v/>
      </c>
      <c r="N54" s="126" t="str">
        <f aca="false">IF(IFERROR(INDEX(tsk_Name,(ROW()-ROW(MSPTasks[[#Headers],[ID]])))="",TRUE()),"",IF(N(INDEX(tsk_ActFinish,(ROW()-ROW(MSPTasks[[#Headers],[ID]]))))=0,"",INDEX(tsk_ActFinish,(ROW()-ROW(MSPTasks[[#Headers],[ID]])))))</f>
        <v/>
      </c>
      <c r="O54" s="126" t="str">
        <f aca="false">IF(IFERROR(INDEX(tsk_Name,(ROW()-ROW(MSPTasks[[#Headers],[ID]])))="",TRUE()),"",INDEX(tsk_PlanStart,(ROW()-ROW(MSPTasks[[#Headers],[ID]]))))</f>
        <v/>
      </c>
      <c r="P54" s="126"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4" s="126" t="str">
        <f aca="false">IF(IFERROR(INDEX(tsk_Name,(ROW()-ROW(MSPTasks[[#Headers],[ID]])))="",TRUE()),"",IF(OR(INDEX(tsk_IsSummary,(ROW()-ROW(MSPTasks[[#Headers],[ID]]))),INDEX(tsk_Mode,(ROW()-ROW(MSPTasks[[#Headers],[ID]])))="Manual"),"",IF(N(INDEX(tsk_ConstraintCode,(ROW()-ROW(MSPTasks[[#Headers],[ID]]))))&lt;2,"",INDEX(tsk_Constraint,(ROW()-ROW(MSPTasks[[#Headers],[ID]]))))))</f>
        <v/>
      </c>
      <c r="W54" s="126"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6" t="str">
        <f aca="false">IF(IFERROR(INDEX(tsk_Name,(ROW()-ROW(MSPTasks[[#Headers],[ID]])))="",TRUE()),"",INDEX(tsk_FcStart,(ROW()-ROW(MSPTasks[[#Headers],[ID]]))))</f>
        <v/>
      </c>
      <c r="H55" s="126"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IF(IFERROR(INDEX(tsk_Name,(ROW()-ROW(MSPTasks[[#Headers],[ID]])))="",TRUE()),"",INDEX(tsk_ResourceNames,(ROW()-ROW(MSPTasks[[#Headers],[ID]])))&amp;"")</f>
        <v/>
      </c>
      <c r="L55" s="24" t="str">
        <f aca="false">IF(IFERROR(INDEX(tsk_Name,(ROW()-ROW(MSPTasks[[#Headers],[ID]])))="",TRUE()),"",IF(INDEX(tsk_IsSummary,(ROW()-ROW(MSPTasks[[#Headers],[ID]]))),"",ROUND(INDEX(tsk_Progress,(ROW()-ROW(MSPTasks[[#Headers],[ID]])))*100,0)))</f>
        <v/>
      </c>
      <c r="M55" s="126" t="str">
        <f aca="false">IF(IFERROR(INDEX(tsk_Name,(ROW()-ROW(MSPTasks[[#Headers],[ID]])))="",TRUE()),"",IF(N(INDEX(tsk_ActStart,(ROW()-ROW(MSPTasks[[#Headers],[ID]]))))=0,"",INDEX(tsk_ActStart,(ROW()-ROW(MSPTasks[[#Headers],[ID]])))))</f>
        <v/>
      </c>
      <c r="N55" s="126" t="str">
        <f aca="false">IF(IFERROR(INDEX(tsk_Name,(ROW()-ROW(MSPTasks[[#Headers],[ID]])))="",TRUE()),"",IF(N(INDEX(tsk_ActFinish,(ROW()-ROW(MSPTasks[[#Headers],[ID]]))))=0,"",INDEX(tsk_ActFinish,(ROW()-ROW(MSPTasks[[#Headers],[ID]])))))</f>
        <v/>
      </c>
      <c r="O55" s="126" t="str">
        <f aca="false">IF(IFERROR(INDEX(tsk_Name,(ROW()-ROW(MSPTasks[[#Headers],[ID]])))="",TRUE()),"",INDEX(tsk_PlanStart,(ROW()-ROW(MSPTasks[[#Headers],[ID]]))))</f>
        <v/>
      </c>
      <c r="P55" s="126"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5" s="126" t="str">
        <f aca="false">IF(IFERROR(INDEX(tsk_Name,(ROW()-ROW(MSPTasks[[#Headers],[ID]])))="",TRUE()),"",IF(OR(INDEX(tsk_IsSummary,(ROW()-ROW(MSPTasks[[#Headers],[ID]]))),INDEX(tsk_Mode,(ROW()-ROW(MSPTasks[[#Headers],[ID]])))="Manual"),"",IF(N(INDEX(tsk_ConstraintCode,(ROW()-ROW(MSPTasks[[#Headers],[ID]]))))&lt;2,"",INDEX(tsk_Constraint,(ROW()-ROW(MSPTasks[[#Headers],[ID]]))))))</f>
        <v/>
      </c>
      <c r="W55" s="126"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6" t="str">
        <f aca="false">IF(IFERROR(INDEX(tsk_Name,(ROW()-ROW(MSPTasks[[#Headers],[ID]])))="",TRUE()),"",INDEX(tsk_FcStart,(ROW()-ROW(MSPTasks[[#Headers],[ID]]))))</f>
        <v/>
      </c>
      <c r="H56" s="126"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IF(IFERROR(INDEX(tsk_Name,(ROW()-ROW(MSPTasks[[#Headers],[ID]])))="",TRUE()),"",INDEX(tsk_ResourceNames,(ROW()-ROW(MSPTasks[[#Headers],[ID]])))&amp;"")</f>
        <v/>
      </c>
      <c r="L56" s="24" t="str">
        <f aca="false">IF(IFERROR(INDEX(tsk_Name,(ROW()-ROW(MSPTasks[[#Headers],[ID]])))="",TRUE()),"",IF(INDEX(tsk_IsSummary,(ROW()-ROW(MSPTasks[[#Headers],[ID]]))),"",ROUND(INDEX(tsk_Progress,(ROW()-ROW(MSPTasks[[#Headers],[ID]])))*100,0)))</f>
        <v/>
      </c>
      <c r="M56" s="126" t="str">
        <f aca="false">IF(IFERROR(INDEX(tsk_Name,(ROW()-ROW(MSPTasks[[#Headers],[ID]])))="",TRUE()),"",IF(N(INDEX(tsk_ActStart,(ROW()-ROW(MSPTasks[[#Headers],[ID]]))))=0,"",INDEX(tsk_ActStart,(ROW()-ROW(MSPTasks[[#Headers],[ID]])))))</f>
        <v/>
      </c>
      <c r="N56" s="126" t="str">
        <f aca="false">IF(IFERROR(INDEX(tsk_Name,(ROW()-ROW(MSPTasks[[#Headers],[ID]])))="",TRUE()),"",IF(N(INDEX(tsk_ActFinish,(ROW()-ROW(MSPTasks[[#Headers],[ID]]))))=0,"",INDEX(tsk_ActFinish,(ROW()-ROW(MSPTasks[[#Headers],[ID]])))))</f>
        <v/>
      </c>
      <c r="O56" s="126" t="str">
        <f aca="false">IF(IFERROR(INDEX(tsk_Name,(ROW()-ROW(MSPTasks[[#Headers],[ID]])))="",TRUE()),"",INDEX(tsk_PlanStart,(ROW()-ROW(MSPTasks[[#Headers],[ID]]))))</f>
        <v/>
      </c>
      <c r="P56" s="126"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6" s="126" t="str">
        <f aca="false">IF(IFERROR(INDEX(tsk_Name,(ROW()-ROW(MSPTasks[[#Headers],[ID]])))="",TRUE()),"",IF(OR(INDEX(tsk_IsSummary,(ROW()-ROW(MSPTasks[[#Headers],[ID]]))),INDEX(tsk_Mode,(ROW()-ROW(MSPTasks[[#Headers],[ID]])))="Manual"),"",IF(N(INDEX(tsk_ConstraintCode,(ROW()-ROW(MSPTasks[[#Headers],[ID]]))))&lt;2,"",INDEX(tsk_Constraint,(ROW()-ROW(MSPTasks[[#Headers],[ID]]))))))</f>
        <v/>
      </c>
      <c r="W56" s="126"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6" t="str">
        <f aca="false">IF(IFERROR(INDEX(tsk_Name,(ROW()-ROW(MSPTasks[[#Headers],[ID]])))="",TRUE()),"",INDEX(tsk_FcStart,(ROW()-ROW(MSPTasks[[#Headers],[ID]]))))</f>
        <v/>
      </c>
      <c r="H57" s="126"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IF(IFERROR(INDEX(tsk_Name,(ROW()-ROW(MSPTasks[[#Headers],[ID]])))="",TRUE()),"",INDEX(tsk_ResourceNames,(ROW()-ROW(MSPTasks[[#Headers],[ID]])))&amp;"")</f>
        <v/>
      </c>
      <c r="L57" s="24" t="str">
        <f aca="false">IF(IFERROR(INDEX(tsk_Name,(ROW()-ROW(MSPTasks[[#Headers],[ID]])))="",TRUE()),"",IF(INDEX(tsk_IsSummary,(ROW()-ROW(MSPTasks[[#Headers],[ID]]))),"",ROUND(INDEX(tsk_Progress,(ROW()-ROW(MSPTasks[[#Headers],[ID]])))*100,0)))</f>
        <v/>
      </c>
      <c r="M57" s="126" t="str">
        <f aca="false">IF(IFERROR(INDEX(tsk_Name,(ROW()-ROW(MSPTasks[[#Headers],[ID]])))="",TRUE()),"",IF(N(INDEX(tsk_ActStart,(ROW()-ROW(MSPTasks[[#Headers],[ID]]))))=0,"",INDEX(tsk_ActStart,(ROW()-ROW(MSPTasks[[#Headers],[ID]])))))</f>
        <v/>
      </c>
      <c r="N57" s="126" t="str">
        <f aca="false">IF(IFERROR(INDEX(tsk_Name,(ROW()-ROW(MSPTasks[[#Headers],[ID]])))="",TRUE()),"",IF(N(INDEX(tsk_ActFinish,(ROW()-ROW(MSPTasks[[#Headers],[ID]]))))=0,"",INDEX(tsk_ActFinish,(ROW()-ROW(MSPTasks[[#Headers],[ID]])))))</f>
        <v/>
      </c>
      <c r="O57" s="126" t="str">
        <f aca="false">IF(IFERROR(INDEX(tsk_Name,(ROW()-ROW(MSPTasks[[#Headers],[ID]])))="",TRUE()),"",INDEX(tsk_PlanStart,(ROW()-ROW(MSPTasks[[#Headers],[ID]]))))</f>
        <v/>
      </c>
      <c r="P57" s="126"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7" s="126" t="str">
        <f aca="false">IF(IFERROR(INDEX(tsk_Name,(ROW()-ROW(MSPTasks[[#Headers],[ID]])))="",TRUE()),"",IF(OR(INDEX(tsk_IsSummary,(ROW()-ROW(MSPTasks[[#Headers],[ID]]))),INDEX(tsk_Mode,(ROW()-ROW(MSPTasks[[#Headers],[ID]])))="Manual"),"",IF(N(INDEX(tsk_ConstraintCode,(ROW()-ROW(MSPTasks[[#Headers],[ID]]))))&lt;2,"",INDEX(tsk_Constraint,(ROW()-ROW(MSPTasks[[#Headers],[ID]]))))))</f>
        <v/>
      </c>
      <c r="W57" s="126"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6" t="str">
        <f aca="false">IF(IFERROR(INDEX(tsk_Name,(ROW()-ROW(MSPTasks[[#Headers],[ID]])))="",TRUE()),"",INDEX(tsk_FcStart,(ROW()-ROW(MSPTasks[[#Headers],[ID]]))))</f>
        <v/>
      </c>
      <c r="H58" s="126"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IF(IFERROR(INDEX(tsk_Name,(ROW()-ROW(MSPTasks[[#Headers],[ID]])))="",TRUE()),"",INDEX(tsk_ResourceNames,(ROW()-ROW(MSPTasks[[#Headers],[ID]])))&amp;"")</f>
        <v/>
      </c>
      <c r="L58" s="24" t="str">
        <f aca="false">IF(IFERROR(INDEX(tsk_Name,(ROW()-ROW(MSPTasks[[#Headers],[ID]])))="",TRUE()),"",IF(INDEX(tsk_IsSummary,(ROW()-ROW(MSPTasks[[#Headers],[ID]]))),"",ROUND(INDEX(tsk_Progress,(ROW()-ROW(MSPTasks[[#Headers],[ID]])))*100,0)))</f>
        <v/>
      </c>
      <c r="M58" s="126" t="str">
        <f aca="false">IF(IFERROR(INDEX(tsk_Name,(ROW()-ROW(MSPTasks[[#Headers],[ID]])))="",TRUE()),"",IF(N(INDEX(tsk_ActStart,(ROW()-ROW(MSPTasks[[#Headers],[ID]]))))=0,"",INDEX(tsk_ActStart,(ROW()-ROW(MSPTasks[[#Headers],[ID]])))))</f>
        <v/>
      </c>
      <c r="N58" s="126" t="str">
        <f aca="false">IF(IFERROR(INDEX(tsk_Name,(ROW()-ROW(MSPTasks[[#Headers],[ID]])))="",TRUE()),"",IF(N(INDEX(tsk_ActFinish,(ROW()-ROW(MSPTasks[[#Headers],[ID]]))))=0,"",INDEX(tsk_ActFinish,(ROW()-ROW(MSPTasks[[#Headers],[ID]])))))</f>
        <v/>
      </c>
      <c r="O58" s="126" t="str">
        <f aca="false">IF(IFERROR(INDEX(tsk_Name,(ROW()-ROW(MSPTasks[[#Headers],[ID]])))="",TRUE()),"",INDEX(tsk_PlanStart,(ROW()-ROW(MSPTasks[[#Headers],[ID]]))))</f>
        <v/>
      </c>
      <c r="P58" s="126"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8" s="126" t="str">
        <f aca="false">IF(IFERROR(INDEX(tsk_Name,(ROW()-ROW(MSPTasks[[#Headers],[ID]])))="",TRUE()),"",IF(OR(INDEX(tsk_IsSummary,(ROW()-ROW(MSPTasks[[#Headers],[ID]]))),INDEX(tsk_Mode,(ROW()-ROW(MSPTasks[[#Headers],[ID]])))="Manual"),"",IF(N(INDEX(tsk_ConstraintCode,(ROW()-ROW(MSPTasks[[#Headers],[ID]]))))&lt;2,"",INDEX(tsk_Constraint,(ROW()-ROW(MSPTasks[[#Headers],[ID]]))))))</f>
        <v/>
      </c>
      <c r="W58" s="126"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6" t="str">
        <f aca="false">IF(IFERROR(INDEX(tsk_Name,(ROW()-ROW(MSPTasks[[#Headers],[ID]])))="",TRUE()),"",INDEX(tsk_FcStart,(ROW()-ROW(MSPTasks[[#Headers],[ID]]))))</f>
        <v/>
      </c>
      <c r="H59" s="126"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IF(IFERROR(INDEX(tsk_Name,(ROW()-ROW(MSPTasks[[#Headers],[ID]])))="",TRUE()),"",INDEX(tsk_ResourceNames,(ROW()-ROW(MSPTasks[[#Headers],[ID]])))&amp;"")</f>
        <v/>
      </c>
      <c r="L59" s="24" t="str">
        <f aca="false">IF(IFERROR(INDEX(tsk_Name,(ROW()-ROW(MSPTasks[[#Headers],[ID]])))="",TRUE()),"",IF(INDEX(tsk_IsSummary,(ROW()-ROW(MSPTasks[[#Headers],[ID]]))),"",ROUND(INDEX(tsk_Progress,(ROW()-ROW(MSPTasks[[#Headers],[ID]])))*100,0)))</f>
        <v/>
      </c>
      <c r="M59" s="126" t="str">
        <f aca="false">IF(IFERROR(INDEX(tsk_Name,(ROW()-ROW(MSPTasks[[#Headers],[ID]])))="",TRUE()),"",IF(N(INDEX(tsk_ActStart,(ROW()-ROW(MSPTasks[[#Headers],[ID]]))))=0,"",INDEX(tsk_ActStart,(ROW()-ROW(MSPTasks[[#Headers],[ID]])))))</f>
        <v/>
      </c>
      <c r="N59" s="126" t="str">
        <f aca="false">IF(IFERROR(INDEX(tsk_Name,(ROW()-ROW(MSPTasks[[#Headers],[ID]])))="",TRUE()),"",IF(N(INDEX(tsk_ActFinish,(ROW()-ROW(MSPTasks[[#Headers],[ID]]))))=0,"",INDEX(tsk_ActFinish,(ROW()-ROW(MSPTasks[[#Headers],[ID]])))))</f>
        <v/>
      </c>
      <c r="O59" s="126" t="str">
        <f aca="false">IF(IFERROR(INDEX(tsk_Name,(ROW()-ROW(MSPTasks[[#Headers],[ID]])))="",TRUE()),"",INDEX(tsk_PlanStart,(ROW()-ROW(MSPTasks[[#Headers],[ID]]))))</f>
        <v/>
      </c>
      <c r="P59" s="126"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9" s="126" t="str">
        <f aca="false">IF(IFERROR(INDEX(tsk_Name,(ROW()-ROW(MSPTasks[[#Headers],[ID]])))="",TRUE()),"",IF(OR(INDEX(tsk_IsSummary,(ROW()-ROW(MSPTasks[[#Headers],[ID]]))),INDEX(tsk_Mode,(ROW()-ROW(MSPTasks[[#Headers],[ID]])))="Manual"),"",IF(N(INDEX(tsk_ConstraintCode,(ROW()-ROW(MSPTasks[[#Headers],[ID]]))))&lt;2,"",INDEX(tsk_Constraint,(ROW()-ROW(MSPTasks[[#Headers],[ID]]))))))</f>
        <v/>
      </c>
      <c r="W59" s="126"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6" t="str">
        <f aca="false">IF(IFERROR(INDEX(tsk_Name,(ROW()-ROW(MSPTasks[[#Headers],[ID]])))="",TRUE()),"",INDEX(tsk_FcStart,(ROW()-ROW(MSPTasks[[#Headers],[ID]]))))</f>
        <v/>
      </c>
      <c r="H60" s="126"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IF(IFERROR(INDEX(tsk_Name,(ROW()-ROW(MSPTasks[[#Headers],[ID]])))="",TRUE()),"",INDEX(tsk_ResourceNames,(ROW()-ROW(MSPTasks[[#Headers],[ID]])))&amp;"")</f>
        <v/>
      </c>
      <c r="L60" s="24" t="str">
        <f aca="false">IF(IFERROR(INDEX(tsk_Name,(ROW()-ROW(MSPTasks[[#Headers],[ID]])))="",TRUE()),"",IF(INDEX(tsk_IsSummary,(ROW()-ROW(MSPTasks[[#Headers],[ID]]))),"",ROUND(INDEX(tsk_Progress,(ROW()-ROW(MSPTasks[[#Headers],[ID]])))*100,0)))</f>
        <v/>
      </c>
      <c r="M60" s="126" t="str">
        <f aca="false">IF(IFERROR(INDEX(tsk_Name,(ROW()-ROW(MSPTasks[[#Headers],[ID]])))="",TRUE()),"",IF(N(INDEX(tsk_ActStart,(ROW()-ROW(MSPTasks[[#Headers],[ID]]))))=0,"",INDEX(tsk_ActStart,(ROW()-ROW(MSPTasks[[#Headers],[ID]])))))</f>
        <v/>
      </c>
      <c r="N60" s="126" t="str">
        <f aca="false">IF(IFERROR(INDEX(tsk_Name,(ROW()-ROW(MSPTasks[[#Headers],[ID]])))="",TRUE()),"",IF(N(INDEX(tsk_ActFinish,(ROW()-ROW(MSPTasks[[#Headers],[ID]]))))=0,"",INDEX(tsk_ActFinish,(ROW()-ROW(MSPTasks[[#Headers],[ID]])))))</f>
        <v/>
      </c>
      <c r="O60" s="126" t="str">
        <f aca="false">IF(IFERROR(INDEX(tsk_Name,(ROW()-ROW(MSPTasks[[#Headers],[ID]])))="",TRUE()),"",INDEX(tsk_PlanStart,(ROW()-ROW(MSPTasks[[#Headers],[ID]]))))</f>
        <v/>
      </c>
      <c r="P60" s="126"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0" s="126" t="str">
        <f aca="false">IF(IFERROR(INDEX(tsk_Name,(ROW()-ROW(MSPTasks[[#Headers],[ID]])))="",TRUE()),"",IF(OR(INDEX(tsk_IsSummary,(ROW()-ROW(MSPTasks[[#Headers],[ID]]))),INDEX(tsk_Mode,(ROW()-ROW(MSPTasks[[#Headers],[ID]])))="Manual"),"",IF(N(INDEX(tsk_ConstraintCode,(ROW()-ROW(MSPTasks[[#Headers],[ID]]))))&lt;2,"",INDEX(tsk_Constraint,(ROW()-ROW(MSPTasks[[#Headers],[ID]]))))))</f>
        <v/>
      </c>
      <c r="W60" s="126"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6" t="str">
        <f aca="false">IF(IFERROR(INDEX(tsk_Name,(ROW()-ROW(MSPTasks[[#Headers],[ID]])))="",TRUE()),"",INDEX(tsk_FcStart,(ROW()-ROW(MSPTasks[[#Headers],[ID]]))))</f>
        <v/>
      </c>
      <c r="H61" s="126"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IF(IFERROR(INDEX(tsk_Name,(ROW()-ROW(MSPTasks[[#Headers],[ID]])))="",TRUE()),"",INDEX(tsk_ResourceNames,(ROW()-ROW(MSPTasks[[#Headers],[ID]])))&amp;"")</f>
        <v/>
      </c>
      <c r="L61" s="24" t="str">
        <f aca="false">IF(IFERROR(INDEX(tsk_Name,(ROW()-ROW(MSPTasks[[#Headers],[ID]])))="",TRUE()),"",IF(INDEX(tsk_IsSummary,(ROW()-ROW(MSPTasks[[#Headers],[ID]]))),"",ROUND(INDEX(tsk_Progress,(ROW()-ROW(MSPTasks[[#Headers],[ID]])))*100,0)))</f>
        <v/>
      </c>
      <c r="M61" s="126" t="str">
        <f aca="false">IF(IFERROR(INDEX(tsk_Name,(ROW()-ROW(MSPTasks[[#Headers],[ID]])))="",TRUE()),"",IF(N(INDEX(tsk_ActStart,(ROW()-ROW(MSPTasks[[#Headers],[ID]]))))=0,"",INDEX(tsk_ActStart,(ROW()-ROW(MSPTasks[[#Headers],[ID]])))))</f>
        <v/>
      </c>
      <c r="N61" s="126" t="str">
        <f aca="false">IF(IFERROR(INDEX(tsk_Name,(ROW()-ROW(MSPTasks[[#Headers],[ID]])))="",TRUE()),"",IF(N(INDEX(tsk_ActFinish,(ROW()-ROW(MSPTasks[[#Headers],[ID]]))))=0,"",INDEX(tsk_ActFinish,(ROW()-ROW(MSPTasks[[#Headers],[ID]])))))</f>
        <v/>
      </c>
      <c r="O61" s="126" t="str">
        <f aca="false">IF(IFERROR(INDEX(tsk_Name,(ROW()-ROW(MSPTasks[[#Headers],[ID]])))="",TRUE()),"",INDEX(tsk_PlanStart,(ROW()-ROW(MSPTasks[[#Headers],[ID]]))))</f>
        <v/>
      </c>
      <c r="P61" s="126"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1" s="126" t="str">
        <f aca="false">IF(IFERROR(INDEX(tsk_Name,(ROW()-ROW(MSPTasks[[#Headers],[ID]])))="",TRUE()),"",IF(OR(INDEX(tsk_IsSummary,(ROW()-ROW(MSPTasks[[#Headers],[ID]]))),INDEX(tsk_Mode,(ROW()-ROW(MSPTasks[[#Headers],[ID]])))="Manual"),"",IF(N(INDEX(tsk_ConstraintCode,(ROW()-ROW(MSPTasks[[#Headers],[ID]]))))&lt;2,"",INDEX(tsk_Constraint,(ROW()-ROW(MSPTasks[[#Headers],[ID]]))))))</f>
        <v/>
      </c>
      <c r="W61" s="126"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6" t="str">
        <f aca="false">IF(IFERROR(INDEX(tsk_Name,(ROW()-ROW(MSPTasks[[#Headers],[ID]])))="",TRUE()),"",INDEX(tsk_FcStart,(ROW()-ROW(MSPTasks[[#Headers],[ID]]))))</f>
        <v/>
      </c>
      <c r="H62" s="126"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IF(IFERROR(INDEX(tsk_Name,(ROW()-ROW(MSPTasks[[#Headers],[ID]])))="",TRUE()),"",INDEX(tsk_ResourceNames,(ROW()-ROW(MSPTasks[[#Headers],[ID]])))&amp;"")</f>
        <v/>
      </c>
      <c r="L62" s="24" t="str">
        <f aca="false">IF(IFERROR(INDEX(tsk_Name,(ROW()-ROW(MSPTasks[[#Headers],[ID]])))="",TRUE()),"",IF(INDEX(tsk_IsSummary,(ROW()-ROW(MSPTasks[[#Headers],[ID]]))),"",ROUND(INDEX(tsk_Progress,(ROW()-ROW(MSPTasks[[#Headers],[ID]])))*100,0)))</f>
        <v/>
      </c>
      <c r="M62" s="126" t="str">
        <f aca="false">IF(IFERROR(INDEX(tsk_Name,(ROW()-ROW(MSPTasks[[#Headers],[ID]])))="",TRUE()),"",IF(N(INDEX(tsk_ActStart,(ROW()-ROW(MSPTasks[[#Headers],[ID]]))))=0,"",INDEX(tsk_ActStart,(ROW()-ROW(MSPTasks[[#Headers],[ID]])))))</f>
        <v/>
      </c>
      <c r="N62" s="126" t="str">
        <f aca="false">IF(IFERROR(INDEX(tsk_Name,(ROW()-ROW(MSPTasks[[#Headers],[ID]])))="",TRUE()),"",IF(N(INDEX(tsk_ActFinish,(ROW()-ROW(MSPTasks[[#Headers],[ID]]))))=0,"",INDEX(tsk_ActFinish,(ROW()-ROW(MSPTasks[[#Headers],[ID]])))))</f>
        <v/>
      </c>
      <c r="O62" s="126" t="str">
        <f aca="false">IF(IFERROR(INDEX(tsk_Name,(ROW()-ROW(MSPTasks[[#Headers],[ID]])))="",TRUE()),"",INDEX(tsk_PlanStart,(ROW()-ROW(MSPTasks[[#Headers],[ID]]))))</f>
        <v/>
      </c>
      <c r="P62" s="126"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2" s="126" t="str">
        <f aca="false">IF(IFERROR(INDEX(tsk_Name,(ROW()-ROW(MSPTasks[[#Headers],[ID]])))="",TRUE()),"",IF(OR(INDEX(tsk_IsSummary,(ROW()-ROW(MSPTasks[[#Headers],[ID]]))),INDEX(tsk_Mode,(ROW()-ROW(MSPTasks[[#Headers],[ID]])))="Manual"),"",IF(N(INDEX(tsk_ConstraintCode,(ROW()-ROW(MSPTasks[[#Headers],[ID]]))))&lt;2,"",INDEX(tsk_Constraint,(ROW()-ROW(MSPTasks[[#Headers],[ID]]))))))</f>
        <v/>
      </c>
      <c r="W62" s="126"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6" t="str">
        <f aca="false">IF(IFERROR(INDEX(tsk_Name,(ROW()-ROW(MSPTasks[[#Headers],[ID]])))="",TRUE()),"",INDEX(tsk_FcStart,(ROW()-ROW(MSPTasks[[#Headers],[ID]]))))</f>
        <v/>
      </c>
      <c r="H63" s="126"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IF(IFERROR(INDEX(tsk_Name,(ROW()-ROW(MSPTasks[[#Headers],[ID]])))="",TRUE()),"",INDEX(tsk_ResourceNames,(ROW()-ROW(MSPTasks[[#Headers],[ID]])))&amp;"")</f>
        <v/>
      </c>
      <c r="L63" s="24" t="str">
        <f aca="false">IF(IFERROR(INDEX(tsk_Name,(ROW()-ROW(MSPTasks[[#Headers],[ID]])))="",TRUE()),"",IF(INDEX(tsk_IsSummary,(ROW()-ROW(MSPTasks[[#Headers],[ID]]))),"",ROUND(INDEX(tsk_Progress,(ROW()-ROW(MSPTasks[[#Headers],[ID]])))*100,0)))</f>
        <v/>
      </c>
      <c r="M63" s="126" t="str">
        <f aca="false">IF(IFERROR(INDEX(tsk_Name,(ROW()-ROW(MSPTasks[[#Headers],[ID]])))="",TRUE()),"",IF(N(INDEX(tsk_ActStart,(ROW()-ROW(MSPTasks[[#Headers],[ID]]))))=0,"",INDEX(tsk_ActStart,(ROW()-ROW(MSPTasks[[#Headers],[ID]])))))</f>
        <v/>
      </c>
      <c r="N63" s="126" t="str">
        <f aca="false">IF(IFERROR(INDEX(tsk_Name,(ROW()-ROW(MSPTasks[[#Headers],[ID]])))="",TRUE()),"",IF(N(INDEX(tsk_ActFinish,(ROW()-ROW(MSPTasks[[#Headers],[ID]]))))=0,"",INDEX(tsk_ActFinish,(ROW()-ROW(MSPTasks[[#Headers],[ID]])))))</f>
        <v/>
      </c>
      <c r="O63" s="126" t="str">
        <f aca="false">IF(IFERROR(INDEX(tsk_Name,(ROW()-ROW(MSPTasks[[#Headers],[ID]])))="",TRUE()),"",INDEX(tsk_PlanStart,(ROW()-ROW(MSPTasks[[#Headers],[ID]]))))</f>
        <v/>
      </c>
      <c r="P63" s="126"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3" s="126" t="str">
        <f aca="false">IF(IFERROR(INDEX(tsk_Name,(ROW()-ROW(MSPTasks[[#Headers],[ID]])))="",TRUE()),"",IF(OR(INDEX(tsk_IsSummary,(ROW()-ROW(MSPTasks[[#Headers],[ID]]))),INDEX(tsk_Mode,(ROW()-ROW(MSPTasks[[#Headers],[ID]])))="Manual"),"",IF(N(INDEX(tsk_ConstraintCode,(ROW()-ROW(MSPTasks[[#Headers],[ID]]))))&lt;2,"",INDEX(tsk_Constraint,(ROW()-ROW(MSPTasks[[#Headers],[ID]]))))))</f>
        <v/>
      </c>
      <c r="W63" s="126"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6" t="str">
        <f aca="false">IF(IFERROR(INDEX(tsk_Name,(ROW()-ROW(MSPTasks[[#Headers],[ID]])))="",TRUE()),"",INDEX(tsk_FcStart,(ROW()-ROW(MSPTasks[[#Headers],[ID]]))))</f>
        <v/>
      </c>
      <c r="H64" s="126"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IF(IFERROR(INDEX(tsk_Name,(ROW()-ROW(MSPTasks[[#Headers],[ID]])))="",TRUE()),"",INDEX(tsk_ResourceNames,(ROW()-ROW(MSPTasks[[#Headers],[ID]])))&amp;"")</f>
        <v/>
      </c>
      <c r="L64" s="24" t="str">
        <f aca="false">IF(IFERROR(INDEX(tsk_Name,(ROW()-ROW(MSPTasks[[#Headers],[ID]])))="",TRUE()),"",IF(INDEX(tsk_IsSummary,(ROW()-ROW(MSPTasks[[#Headers],[ID]]))),"",ROUND(INDEX(tsk_Progress,(ROW()-ROW(MSPTasks[[#Headers],[ID]])))*100,0)))</f>
        <v/>
      </c>
      <c r="M64" s="126" t="str">
        <f aca="false">IF(IFERROR(INDEX(tsk_Name,(ROW()-ROW(MSPTasks[[#Headers],[ID]])))="",TRUE()),"",IF(N(INDEX(tsk_ActStart,(ROW()-ROW(MSPTasks[[#Headers],[ID]]))))=0,"",INDEX(tsk_ActStart,(ROW()-ROW(MSPTasks[[#Headers],[ID]])))))</f>
        <v/>
      </c>
      <c r="N64" s="126" t="str">
        <f aca="false">IF(IFERROR(INDEX(tsk_Name,(ROW()-ROW(MSPTasks[[#Headers],[ID]])))="",TRUE()),"",IF(N(INDEX(tsk_ActFinish,(ROW()-ROW(MSPTasks[[#Headers],[ID]]))))=0,"",INDEX(tsk_ActFinish,(ROW()-ROW(MSPTasks[[#Headers],[ID]])))))</f>
        <v/>
      </c>
      <c r="O64" s="126" t="str">
        <f aca="false">IF(IFERROR(INDEX(tsk_Name,(ROW()-ROW(MSPTasks[[#Headers],[ID]])))="",TRUE()),"",INDEX(tsk_PlanStart,(ROW()-ROW(MSPTasks[[#Headers],[ID]]))))</f>
        <v/>
      </c>
      <c r="P64" s="126"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4" s="126" t="str">
        <f aca="false">IF(IFERROR(INDEX(tsk_Name,(ROW()-ROW(MSPTasks[[#Headers],[ID]])))="",TRUE()),"",IF(OR(INDEX(tsk_IsSummary,(ROW()-ROW(MSPTasks[[#Headers],[ID]]))),INDEX(tsk_Mode,(ROW()-ROW(MSPTasks[[#Headers],[ID]])))="Manual"),"",IF(N(INDEX(tsk_ConstraintCode,(ROW()-ROW(MSPTasks[[#Headers],[ID]]))))&lt;2,"",INDEX(tsk_Constraint,(ROW()-ROW(MSPTasks[[#Headers],[ID]]))))))</f>
        <v/>
      </c>
      <c r="W64" s="126"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6" t="str">
        <f aca="false">IF(IFERROR(INDEX(tsk_Name,(ROW()-ROW(MSPTasks[[#Headers],[ID]])))="",TRUE()),"",INDEX(tsk_FcStart,(ROW()-ROW(MSPTasks[[#Headers],[ID]]))))</f>
        <v/>
      </c>
      <c r="H65" s="126"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IF(IFERROR(INDEX(tsk_Name,(ROW()-ROW(MSPTasks[[#Headers],[ID]])))="",TRUE()),"",INDEX(tsk_ResourceNames,(ROW()-ROW(MSPTasks[[#Headers],[ID]])))&amp;"")</f>
        <v/>
      </c>
      <c r="L65" s="24" t="str">
        <f aca="false">IF(IFERROR(INDEX(tsk_Name,(ROW()-ROW(MSPTasks[[#Headers],[ID]])))="",TRUE()),"",IF(INDEX(tsk_IsSummary,(ROW()-ROW(MSPTasks[[#Headers],[ID]]))),"",ROUND(INDEX(tsk_Progress,(ROW()-ROW(MSPTasks[[#Headers],[ID]])))*100,0)))</f>
        <v/>
      </c>
      <c r="M65" s="126" t="str">
        <f aca="false">IF(IFERROR(INDEX(tsk_Name,(ROW()-ROW(MSPTasks[[#Headers],[ID]])))="",TRUE()),"",IF(N(INDEX(tsk_ActStart,(ROW()-ROW(MSPTasks[[#Headers],[ID]]))))=0,"",INDEX(tsk_ActStart,(ROW()-ROW(MSPTasks[[#Headers],[ID]])))))</f>
        <v/>
      </c>
      <c r="N65" s="126" t="str">
        <f aca="false">IF(IFERROR(INDEX(tsk_Name,(ROW()-ROW(MSPTasks[[#Headers],[ID]])))="",TRUE()),"",IF(N(INDEX(tsk_ActFinish,(ROW()-ROW(MSPTasks[[#Headers],[ID]]))))=0,"",INDEX(tsk_ActFinish,(ROW()-ROW(MSPTasks[[#Headers],[ID]])))))</f>
        <v/>
      </c>
      <c r="O65" s="126" t="str">
        <f aca="false">IF(IFERROR(INDEX(tsk_Name,(ROW()-ROW(MSPTasks[[#Headers],[ID]])))="",TRUE()),"",INDEX(tsk_PlanStart,(ROW()-ROW(MSPTasks[[#Headers],[ID]]))))</f>
        <v/>
      </c>
      <c r="P65" s="126"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5" s="126" t="str">
        <f aca="false">IF(IFERROR(INDEX(tsk_Name,(ROW()-ROW(MSPTasks[[#Headers],[ID]])))="",TRUE()),"",IF(OR(INDEX(tsk_IsSummary,(ROW()-ROW(MSPTasks[[#Headers],[ID]]))),INDEX(tsk_Mode,(ROW()-ROW(MSPTasks[[#Headers],[ID]])))="Manual"),"",IF(N(INDEX(tsk_ConstraintCode,(ROW()-ROW(MSPTasks[[#Headers],[ID]]))))&lt;2,"",INDEX(tsk_Constraint,(ROW()-ROW(MSPTasks[[#Headers],[ID]]))))))</f>
        <v/>
      </c>
      <c r="W65" s="126"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6" t="str">
        <f aca="false">IF(IFERROR(INDEX(tsk_Name,(ROW()-ROW(MSPTasks[[#Headers],[ID]])))="",TRUE()),"",INDEX(tsk_FcStart,(ROW()-ROW(MSPTasks[[#Headers],[ID]]))))</f>
        <v/>
      </c>
      <c r="H66" s="126"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IF(IFERROR(INDEX(tsk_Name,(ROW()-ROW(MSPTasks[[#Headers],[ID]])))="",TRUE()),"",INDEX(tsk_ResourceNames,(ROW()-ROW(MSPTasks[[#Headers],[ID]])))&amp;"")</f>
        <v/>
      </c>
      <c r="L66" s="24" t="str">
        <f aca="false">IF(IFERROR(INDEX(tsk_Name,(ROW()-ROW(MSPTasks[[#Headers],[ID]])))="",TRUE()),"",IF(INDEX(tsk_IsSummary,(ROW()-ROW(MSPTasks[[#Headers],[ID]]))),"",ROUND(INDEX(tsk_Progress,(ROW()-ROW(MSPTasks[[#Headers],[ID]])))*100,0)))</f>
        <v/>
      </c>
      <c r="M66" s="126" t="str">
        <f aca="false">IF(IFERROR(INDEX(tsk_Name,(ROW()-ROW(MSPTasks[[#Headers],[ID]])))="",TRUE()),"",IF(N(INDEX(tsk_ActStart,(ROW()-ROW(MSPTasks[[#Headers],[ID]]))))=0,"",INDEX(tsk_ActStart,(ROW()-ROW(MSPTasks[[#Headers],[ID]])))))</f>
        <v/>
      </c>
      <c r="N66" s="126" t="str">
        <f aca="false">IF(IFERROR(INDEX(tsk_Name,(ROW()-ROW(MSPTasks[[#Headers],[ID]])))="",TRUE()),"",IF(N(INDEX(tsk_ActFinish,(ROW()-ROW(MSPTasks[[#Headers],[ID]]))))=0,"",INDEX(tsk_ActFinish,(ROW()-ROW(MSPTasks[[#Headers],[ID]])))))</f>
        <v/>
      </c>
      <c r="O66" s="126" t="str">
        <f aca="false">IF(IFERROR(INDEX(tsk_Name,(ROW()-ROW(MSPTasks[[#Headers],[ID]])))="",TRUE()),"",INDEX(tsk_PlanStart,(ROW()-ROW(MSPTasks[[#Headers],[ID]]))))</f>
        <v/>
      </c>
      <c r="P66" s="126"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6" s="126" t="str">
        <f aca="false">IF(IFERROR(INDEX(tsk_Name,(ROW()-ROW(MSPTasks[[#Headers],[ID]])))="",TRUE()),"",IF(OR(INDEX(tsk_IsSummary,(ROW()-ROW(MSPTasks[[#Headers],[ID]]))),INDEX(tsk_Mode,(ROW()-ROW(MSPTasks[[#Headers],[ID]])))="Manual"),"",IF(N(INDEX(tsk_ConstraintCode,(ROW()-ROW(MSPTasks[[#Headers],[ID]]))))&lt;2,"",INDEX(tsk_Constraint,(ROW()-ROW(MSPTasks[[#Headers],[ID]]))))))</f>
        <v/>
      </c>
      <c r="W66" s="126"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6" t="str">
        <f aca="false">IF(IFERROR(INDEX(tsk_Name,(ROW()-ROW(MSPTasks[[#Headers],[ID]])))="",TRUE()),"",INDEX(tsk_FcStart,(ROW()-ROW(MSPTasks[[#Headers],[ID]]))))</f>
        <v/>
      </c>
      <c r="H67" s="126"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IF(IFERROR(INDEX(tsk_Name,(ROW()-ROW(MSPTasks[[#Headers],[ID]])))="",TRUE()),"",INDEX(tsk_ResourceNames,(ROW()-ROW(MSPTasks[[#Headers],[ID]])))&amp;"")</f>
        <v/>
      </c>
      <c r="L67" s="24" t="str">
        <f aca="false">IF(IFERROR(INDEX(tsk_Name,(ROW()-ROW(MSPTasks[[#Headers],[ID]])))="",TRUE()),"",IF(INDEX(tsk_IsSummary,(ROW()-ROW(MSPTasks[[#Headers],[ID]]))),"",ROUND(INDEX(tsk_Progress,(ROW()-ROW(MSPTasks[[#Headers],[ID]])))*100,0)))</f>
        <v/>
      </c>
      <c r="M67" s="126" t="str">
        <f aca="false">IF(IFERROR(INDEX(tsk_Name,(ROW()-ROW(MSPTasks[[#Headers],[ID]])))="",TRUE()),"",IF(N(INDEX(tsk_ActStart,(ROW()-ROW(MSPTasks[[#Headers],[ID]]))))=0,"",INDEX(tsk_ActStart,(ROW()-ROW(MSPTasks[[#Headers],[ID]])))))</f>
        <v/>
      </c>
      <c r="N67" s="126" t="str">
        <f aca="false">IF(IFERROR(INDEX(tsk_Name,(ROW()-ROW(MSPTasks[[#Headers],[ID]])))="",TRUE()),"",IF(N(INDEX(tsk_ActFinish,(ROW()-ROW(MSPTasks[[#Headers],[ID]]))))=0,"",INDEX(tsk_ActFinish,(ROW()-ROW(MSPTasks[[#Headers],[ID]])))))</f>
        <v/>
      </c>
      <c r="O67" s="126" t="str">
        <f aca="false">IF(IFERROR(INDEX(tsk_Name,(ROW()-ROW(MSPTasks[[#Headers],[ID]])))="",TRUE()),"",INDEX(tsk_PlanStart,(ROW()-ROW(MSPTasks[[#Headers],[ID]]))))</f>
        <v/>
      </c>
      <c r="P67" s="126"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7" s="126" t="str">
        <f aca="false">IF(IFERROR(INDEX(tsk_Name,(ROW()-ROW(MSPTasks[[#Headers],[ID]])))="",TRUE()),"",IF(OR(INDEX(tsk_IsSummary,(ROW()-ROW(MSPTasks[[#Headers],[ID]]))),INDEX(tsk_Mode,(ROW()-ROW(MSPTasks[[#Headers],[ID]])))="Manual"),"",IF(N(INDEX(tsk_ConstraintCode,(ROW()-ROW(MSPTasks[[#Headers],[ID]]))))&lt;2,"",INDEX(tsk_Constraint,(ROW()-ROW(MSPTasks[[#Headers],[ID]]))))))</f>
        <v/>
      </c>
      <c r="W67" s="126"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6" t="str">
        <f aca="false">IF(IFERROR(INDEX(tsk_Name,(ROW()-ROW(MSPTasks[[#Headers],[ID]])))="",TRUE()),"",INDEX(tsk_FcStart,(ROW()-ROW(MSPTasks[[#Headers],[ID]]))))</f>
        <v/>
      </c>
      <c r="H68" s="126"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IF(IFERROR(INDEX(tsk_Name,(ROW()-ROW(MSPTasks[[#Headers],[ID]])))="",TRUE()),"",INDEX(tsk_ResourceNames,(ROW()-ROW(MSPTasks[[#Headers],[ID]])))&amp;"")</f>
        <v/>
      </c>
      <c r="L68" s="24" t="str">
        <f aca="false">IF(IFERROR(INDEX(tsk_Name,(ROW()-ROW(MSPTasks[[#Headers],[ID]])))="",TRUE()),"",IF(INDEX(tsk_IsSummary,(ROW()-ROW(MSPTasks[[#Headers],[ID]]))),"",ROUND(INDEX(tsk_Progress,(ROW()-ROW(MSPTasks[[#Headers],[ID]])))*100,0)))</f>
        <v/>
      </c>
      <c r="M68" s="126" t="str">
        <f aca="false">IF(IFERROR(INDEX(tsk_Name,(ROW()-ROW(MSPTasks[[#Headers],[ID]])))="",TRUE()),"",IF(N(INDEX(tsk_ActStart,(ROW()-ROW(MSPTasks[[#Headers],[ID]]))))=0,"",INDEX(tsk_ActStart,(ROW()-ROW(MSPTasks[[#Headers],[ID]])))))</f>
        <v/>
      </c>
      <c r="N68" s="126" t="str">
        <f aca="false">IF(IFERROR(INDEX(tsk_Name,(ROW()-ROW(MSPTasks[[#Headers],[ID]])))="",TRUE()),"",IF(N(INDEX(tsk_ActFinish,(ROW()-ROW(MSPTasks[[#Headers],[ID]]))))=0,"",INDEX(tsk_ActFinish,(ROW()-ROW(MSPTasks[[#Headers],[ID]])))))</f>
        <v/>
      </c>
      <c r="O68" s="126" t="str">
        <f aca="false">IF(IFERROR(INDEX(tsk_Name,(ROW()-ROW(MSPTasks[[#Headers],[ID]])))="",TRUE()),"",INDEX(tsk_PlanStart,(ROW()-ROW(MSPTasks[[#Headers],[ID]]))))</f>
        <v/>
      </c>
      <c r="P68" s="126"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8" s="126" t="str">
        <f aca="false">IF(IFERROR(INDEX(tsk_Name,(ROW()-ROW(MSPTasks[[#Headers],[ID]])))="",TRUE()),"",IF(OR(INDEX(tsk_IsSummary,(ROW()-ROW(MSPTasks[[#Headers],[ID]]))),INDEX(tsk_Mode,(ROW()-ROW(MSPTasks[[#Headers],[ID]])))="Manual"),"",IF(N(INDEX(tsk_ConstraintCode,(ROW()-ROW(MSPTasks[[#Headers],[ID]]))))&lt;2,"",INDEX(tsk_Constraint,(ROW()-ROW(MSPTasks[[#Headers],[ID]]))))))</f>
        <v/>
      </c>
      <c r="W68" s="126"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6" t="str">
        <f aca="false">IF(IFERROR(INDEX(tsk_Name,(ROW()-ROW(MSPTasks[[#Headers],[ID]])))="",TRUE()),"",INDEX(tsk_FcStart,(ROW()-ROW(MSPTasks[[#Headers],[ID]]))))</f>
        <v/>
      </c>
      <c r="H69" s="126"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IF(IFERROR(INDEX(tsk_Name,(ROW()-ROW(MSPTasks[[#Headers],[ID]])))="",TRUE()),"",INDEX(tsk_ResourceNames,(ROW()-ROW(MSPTasks[[#Headers],[ID]])))&amp;"")</f>
        <v/>
      </c>
      <c r="L69" s="24" t="str">
        <f aca="false">IF(IFERROR(INDEX(tsk_Name,(ROW()-ROW(MSPTasks[[#Headers],[ID]])))="",TRUE()),"",IF(INDEX(tsk_IsSummary,(ROW()-ROW(MSPTasks[[#Headers],[ID]]))),"",ROUND(INDEX(tsk_Progress,(ROW()-ROW(MSPTasks[[#Headers],[ID]])))*100,0)))</f>
        <v/>
      </c>
      <c r="M69" s="126" t="str">
        <f aca="false">IF(IFERROR(INDEX(tsk_Name,(ROW()-ROW(MSPTasks[[#Headers],[ID]])))="",TRUE()),"",IF(N(INDEX(tsk_ActStart,(ROW()-ROW(MSPTasks[[#Headers],[ID]]))))=0,"",INDEX(tsk_ActStart,(ROW()-ROW(MSPTasks[[#Headers],[ID]])))))</f>
        <v/>
      </c>
      <c r="N69" s="126" t="str">
        <f aca="false">IF(IFERROR(INDEX(tsk_Name,(ROW()-ROW(MSPTasks[[#Headers],[ID]])))="",TRUE()),"",IF(N(INDEX(tsk_ActFinish,(ROW()-ROW(MSPTasks[[#Headers],[ID]]))))=0,"",INDEX(tsk_ActFinish,(ROW()-ROW(MSPTasks[[#Headers],[ID]])))))</f>
        <v/>
      </c>
      <c r="O69" s="126" t="str">
        <f aca="false">IF(IFERROR(INDEX(tsk_Name,(ROW()-ROW(MSPTasks[[#Headers],[ID]])))="",TRUE()),"",INDEX(tsk_PlanStart,(ROW()-ROW(MSPTasks[[#Headers],[ID]]))))</f>
        <v/>
      </c>
      <c r="P69" s="126"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9" s="126" t="str">
        <f aca="false">IF(IFERROR(INDEX(tsk_Name,(ROW()-ROW(MSPTasks[[#Headers],[ID]])))="",TRUE()),"",IF(OR(INDEX(tsk_IsSummary,(ROW()-ROW(MSPTasks[[#Headers],[ID]]))),INDEX(tsk_Mode,(ROW()-ROW(MSPTasks[[#Headers],[ID]])))="Manual"),"",IF(N(INDEX(tsk_ConstraintCode,(ROW()-ROW(MSPTasks[[#Headers],[ID]]))))&lt;2,"",INDEX(tsk_Constraint,(ROW()-ROW(MSPTasks[[#Headers],[ID]]))))))</f>
        <v/>
      </c>
      <c r="W69" s="126"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6" t="str">
        <f aca="false">IF(IFERROR(INDEX(tsk_Name,(ROW()-ROW(MSPTasks[[#Headers],[ID]])))="",TRUE()),"",INDEX(tsk_FcStart,(ROW()-ROW(MSPTasks[[#Headers],[ID]]))))</f>
        <v/>
      </c>
      <c r="H70" s="126"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IF(IFERROR(INDEX(tsk_Name,(ROW()-ROW(MSPTasks[[#Headers],[ID]])))="",TRUE()),"",INDEX(tsk_ResourceNames,(ROW()-ROW(MSPTasks[[#Headers],[ID]])))&amp;"")</f>
        <v/>
      </c>
      <c r="L70" s="24" t="str">
        <f aca="false">IF(IFERROR(INDEX(tsk_Name,(ROW()-ROW(MSPTasks[[#Headers],[ID]])))="",TRUE()),"",IF(INDEX(tsk_IsSummary,(ROW()-ROW(MSPTasks[[#Headers],[ID]]))),"",ROUND(INDEX(tsk_Progress,(ROW()-ROW(MSPTasks[[#Headers],[ID]])))*100,0)))</f>
        <v/>
      </c>
      <c r="M70" s="126" t="str">
        <f aca="false">IF(IFERROR(INDEX(tsk_Name,(ROW()-ROW(MSPTasks[[#Headers],[ID]])))="",TRUE()),"",IF(N(INDEX(tsk_ActStart,(ROW()-ROW(MSPTasks[[#Headers],[ID]]))))=0,"",INDEX(tsk_ActStart,(ROW()-ROW(MSPTasks[[#Headers],[ID]])))))</f>
        <v/>
      </c>
      <c r="N70" s="126" t="str">
        <f aca="false">IF(IFERROR(INDEX(tsk_Name,(ROW()-ROW(MSPTasks[[#Headers],[ID]])))="",TRUE()),"",IF(N(INDEX(tsk_ActFinish,(ROW()-ROW(MSPTasks[[#Headers],[ID]]))))=0,"",INDEX(tsk_ActFinish,(ROW()-ROW(MSPTasks[[#Headers],[ID]])))))</f>
        <v/>
      </c>
      <c r="O70" s="126" t="str">
        <f aca="false">IF(IFERROR(INDEX(tsk_Name,(ROW()-ROW(MSPTasks[[#Headers],[ID]])))="",TRUE()),"",INDEX(tsk_PlanStart,(ROW()-ROW(MSPTasks[[#Headers],[ID]]))))</f>
        <v/>
      </c>
      <c r="P70" s="126"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0" s="126" t="str">
        <f aca="false">IF(IFERROR(INDEX(tsk_Name,(ROW()-ROW(MSPTasks[[#Headers],[ID]])))="",TRUE()),"",IF(OR(INDEX(tsk_IsSummary,(ROW()-ROW(MSPTasks[[#Headers],[ID]]))),INDEX(tsk_Mode,(ROW()-ROW(MSPTasks[[#Headers],[ID]])))="Manual"),"",IF(N(INDEX(tsk_ConstraintCode,(ROW()-ROW(MSPTasks[[#Headers],[ID]]))))&lt;2,"",INDEX(tsk_Constraint,(ROW()-ROW(MSPTasks[[#Headers],[ID]]))))))</f>
        <v/>
      </c>
      <c r="W70" s="126"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6" t="str">
        <f aca="false">IF(IFERROR(INDEX(tsk_Name,(ROW()-ROW(MSPTasks[[#Headers],[ID]])))="",TRUE()),"",INDEX(tsk_FcStart,(ROW()-ROW(MSPTasks[[#Headers],[ID]]))))</f>
        <v/>
      </c>
      <c r="H71" s="126"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IF(IFERROR(INDEX(tsk_Name,(ROW()-ROW(MSPTasks[[#Headers],[ID]])))="",TRUE()),"",INDEX(tsk_ResourceNames,(ROW()-ROW(MSPTasks[[#Headers],[ID]])))&amp;"")</f>
        <v/>
      </c>
      <c r="L71" s="24" t="str">
        <f aca="false">IF(IFERROR(INDEX(tsk_Name,(ROW()-ROW(MSPTasks[[#Headers],[ID]])))="",TRUE()),"",IF(INDEX(tsk_IsSummary,(ROW()-ROW(MSPTasks[[#Headers],[ID]]))),"",ROUND(INDEX(tsk_Progress,(ROW()-ROW(MSPTasks[[#Headers],[ID]])))*100,0)))</f>
        <v/>
      </c>
      <c r="M71" s="126" t="str">
        <f aca="false">IF(IFERROR(INDEX(tsk_Name,(ROW()-ROW(MSPTasks[[#Headers],[ID]])))="",TRUE()),"",IF(N(INDEX(tsk_ActStart,(ROW()-ROW(MSPTasks[[#Headers],[ID]]))))=0,"",INDEX(tsk_ActStart,(ROW()-ROW(MSPTasks[[#Headers],[ID]])))))</f>
        <v/>
      </c>
      <c r="N71" s="126" t="str">
        <f aca="false">IF(IFERROR(INDEX(tsk_Name,(ROW()-ROW(MSPTasks[[#Headers],[ID]])))="",TRUE()),"",IF(N(INDEX(tsk_ActFinish,(ROW()-ROW(MSPTasks[[#Headers],[ID]]))))=0,"",INDEX(tsk_ActFinish,(ROW()-ROW(MSPTasks[[#Headers],[ID]])))))</f>
        <v/>
      </c>
      <c r="O71" s="126" t="str">
        <f aca="false">IF(IFERROR(INDEX(tsk_Name,(ROW()-ROW(MSPTasks[[#Headers],[ID]])))="",TRUE()),"",INDEX(tsk_PlanStart,(ROW()-ROW(MSPTasks[[#Headers],[ID]]))))</f>
        <v/>
      </c>
      <c r="P71" s="126"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1" s="126" t="str">
        <f aca="false">IF(IFERROR(INDEX(tsk_Name,(ROW()-ROW(MSPTasks[[#Headers],[ID]])))="",TRUE()),"",IF(OR(INDEX(tsk_IsSummary,(ROW()-ROW(MSPTasks[[#Headers],[ID]]))),INDEX(tsk_Mode,(ROW()-ROW(MSPTasks[[#Headers],[ID]])))="Manual"),"",IF(N(INDEX(tsk_ConstraintCode,(ROW()-ROW(MSPTasks[[#Headers],[ID]]))))&lt;2,"",INDEX(tsk_Constraint,(ROW()-ROW(MSPTasks[[#Headers],[ID]]))))))</f>
        <v/>
      </c>
      <c r="W71" s="126"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6" t="str">
        <f aca="false">IF(IFERROR(INDEX(tsk_Name,(ROW()-ROW(MSPTasks[[#Headers],[ID]])))="",TRUE()),"",INDEX(tsk_FcStart,(ROW()-ROW(MSPTasks[[#Headers],[ID]]))))</f>
        <v/>
      </c>
      <c r="H72" s="126"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IF(IFERROR(INDEX(tsk_Name,(ROW()-ROW(MSPTasks[[#Headers],[ID]])))="",TRUE()),"",INDEX(tsk_ResourceNames,(ROW()-ROW(MSPTasks[[#Headers],[ID]])))&amp;"")</f>
        <v/>
      </c>
      <c r="L72" s="24" t="str">
        <f aca="false">IF(IFERROR(INDEX(tsk_Name,(ROW()-ROW(MSPTasks[[#Headers],[ID]])))="",TRUE()),"",IF(INDEX(tsk_IsSummary,(ROW()-ROW(MSPTasks[[#Headers],[ID]]))),"",ROUND(INDEX(tsk_Progress,(ROW()-ROW(MSPTasks[[#Headers],[ID]])))*100,0)))</f>
        <v/>
      </c>
      <c r="M72" s="126" t="str">
        <f aca="false">IF(IFERROR(INDEX(tsk_Name,(ROW()-ROW(MSPTasks[[#Headers],[ID]])))="",TRUE()),"",IF(N(INDEX(tsk_ActStart,(ROW()-ROW(MSPTasks[[#Headers],[ID]]))))=0,"",INDEX(tsk_ActStart,(ROW()-ROW(MSPTasks[[#Headers],[ID]])))))</f>
        <v/>
      </c>
      <c r="N72" s="126" t="str">
        <f aca="false">IF(IFERROR(INDEX(tsk_Name,(ROW()-ROW(MSPTasks[[#Headers],[ID]])))="",TRUE()),"",IF(N(INDEX(tsk_ActFinish,(ROW()-ROW(MSPTasks[[#Headers],[ID]]))))=0,"",INDEX(tsk_ActFinish,(ROW()-ROW(MSPTasks[[#Headers],[ID]])))))</f>
        <v/>
      </c>
      <c r="O72" s="126" t="str">
        <f aca="false">IF(IFERROR(INDEX(tsk_Name,(ROW()-ROW(MSPTasks[[#Headers],[ID]])))="",TRUE()),"",INDEX(tsk_PlanStart,(ROW()-ROW(MSPTasks[[#Headers],[ID]]))))</f>
        <v/>
      </c>
      <c r="P72" s="126"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2" s="126" t="str">
        <f aca="false">IF(IFERROR(INDEX(tsk_Name,(ROW()-ROW(MSPTasks[[#Headers],[ID]])))="",TRUE()),"",IF(OR(INDEX(tsk_IsSummary,(ROW()-ROW(MSPTasks[[#Headers],[ID]]))),INDEX(tsk_Mode,(ROW()-ROW(MSPTasks[[#Headers],[ID]])))="Manual"),"",IF(N(INDEX(tsk_ConstraintCode,(ROW()-ROW(MSPTasks[[#Headers],[ID]]))))&lt;2,"",INDEX(tsk_Constraint,(ROW()-ROW(MSPTasks[[#Headers],[ID]]))))))</f>
        <v/>
      </c>
      <c r="W72" s="126"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6" t="str">
        <f aca="false">IF(IFERROR(INDEX(tsk_Name,(ROW()-ROW(MSPTasks[[#Headers],[ID]])))="",TRUE()),"",INDEX(tsk_FcStart,(ROW()-ROW(MSPTasks[[#Headers],[ID]]))))</f>
        <v/>
      </c>
      <c r="H73" s="126"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IF(IFERROR(INDEX(tsk_Name,(ROW()-ROW(MSPTasks[[#Headers],[ID]])))="",TRUE()),"",INDEX(tsk_ResourceNames,(ROW()-ROW(MSPTasks[[#Headers],[ID]])))&amp;"")</f>
        <v/>
      </c>
      <c r="L73" s="24" t="str">
        <f aca="false">IF(IFERROR(INDEX(tsk_Name,(ROW()-ROW(MSPTasks[[#Headers],[ID]])))="",TRUE()),"",IF(INDEX(tsk_IsSummary,(ROW()-ROW(MSPTasks[[#Headers],[ID]]))),"",ROUND(INDEX(tsk_Progress,(ROW()-ROW(MSPTasks[[#Headers],[ID]])))*100,0)))</f>
        <v/>
      </c>
      <c r="M73" s="126" t="str">
        <f aca="false">IF(IFERROR(INDEX(tsk_Name,(ROW()-ROW(MSPTasks[[#Headers],[ID]])))="",TRUE()),"",IF(N(INDEX(tsk_ActStart,(ROW()-ROW(MSPTasks[[#Headers],[ID]]))))=0,"",INDEX(tsk_ActStart,(ROW()-ROW(MSPTasks[[#Headers],[ID]])))))</f>
        <v/>
      </c>
      <c r="N73" s="126" t="str">
        <f aca="false">IF(IFERROR(INDEX(tsk_Name,(ROW()-ROW(MSPTasks[[#Headers],[ID]])))="",TRUE()),"",IF(N(INDEX(tsk_ActFinish,(ROW()-ROW(MSPTasks[[#Headers],[ID]]))))=0,"",INDEX(tsk_ActFinish,(ROW()-ROW(MSPTasks[[#Headers],[ID]])))))</f>
        <v/>
      </c>
      <c r="O73" s="126" t="str">
        <f aca="false">IF(IFERROR(INDEX(tsk_Name,(ROW()-ROW(MSPTasks[[#Headers],[ID]])))="",TRUE()),"",INDEX(tsk_PlanStart,(ROW()-ROW(MSPTasks[[#Headers],[ID]]))))</f>
        <v/>
      </c>
      <c r="P73" s="126"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3" s="126" t="str">
        <f aca="false">IF(IFERROR(INDEX(tsk_Name,(ROW()-ROW(MSPTasks[[#Headers],[ID]])))="",TRUE()),"",IF(OR(INDEX(tsk_IsSummary,(ROW()-ROW(MSPTasks[[#Headers],[ID]]))),INDEX(tsk_Mode,(ROW()-ROW(MSPTasks[[#Headers],[ID]])))="Manual"),"",IF(N(INDEX(tsk_ConstraintCode,(ROW()-ROW(MSPTasks[[#Headers],[ID]]))))&lt;2,"",INDEX(tsk_Constraint,(ROW()-ROW(MSPTasks[[#Headers],[ID]]))))))</f>
        <v/>
      </c>
      <c r="W73" s="126"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6" t="str">
        <f aca="false">IF(IFERROR(INDEX(tsk_Name,(ROW()-ROW(MSPTasks[[#Headers],[ID]])))="",TRUE()),"",INDEX(tsk_FcStart,(ROW()-ROW(MSPTasks[[#Headers],[ID]]))))</f>
        <v/>
      </c>
      <c r="H74" s="126"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IF(IFERROR(INDEX(tsk_Name,(ROW()-ROW(MSPTasks[[#Headers],[ID]])))="",TRUE()),"",INDEX(tsk_ResourceNames,(ROW()-ROW(MSPTasks[[#Headers],[ID]])))&amp;"")</f>
        <v/>
      </c>
      <c r="L74" s="24" t="str">
        <f aca="false">IF(IFERROR(INDEX(tsk_Name,(ROW()-ROW(MSPTasks[[#Headers],[ID]])))="",TRUE()),"",IF(INDEX(tsk_IsSummary,(ROW()-ROW(MSPTasks[[#Headers],[ID]]))),"",ROUND(INDEX(tsk_Progress,(ROW()-ROW(MSPTasks[[#Headers],[ID]])))*100,0)))</f>
        <v/>
      </c>
      <c r="M74" s="126" t="str">
        <f aca="false">IF(IFERROR(INDEX(tsk_Name,(ROW()-ROW(MSPTasks[[#Headers],[ID]])))="",TRUE()),"",IF(N(INDEX(tsk_ActStart,(ROW()-ROW(MSPTasks[[#Headers],[ID]]))))=0,"",INDEX(tsk_ActStart,(ROW()-ROW(MSPTasks[[#Headers],[ID]])))))</f>
        <v/>
      </c>
      <c r="N74" s="126" t="str">
        <f aca="false">IF(IFERROR(INDEX(tsk_Name,(ROW()-ROW(MSPTasks[[#Headers],[ID]])))="",TRUE()),"",IF(N(INDEX(tsk_ActFinish,(ROW()-ROW(MSPTasks[[#Headers],[ID]]))))=0,"",INDEX(tsk_ActFinish,(ROW()-ROW(MSPTasks[[#Headers],[ID]])))))</f>
        <v/>
      </c>
      <c r="O74" s="126" t="str">
        <f aca="false">IF(IFERROR(INDEX(tsk_Name,(ROW()-ROW(MSPTasks[[#Headers],[ID]])))="",TRUE()),"",INDEX(tsk_PlanStart,(ROW()-ROW(MSPTasks[[#Headers],[ID]]))))</f>
        <v/>
      </c>
      <c r="P74" s="126"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4" s="126" t="str">
        <f aca="false">IF(IFERROR(INDEX(tsk_Name,(ROW()-ROW(MSPTasks[[#Headers],[ID]])))="",TRUE()),"",IF(OR(INDEX(tsk_IsSummary,(ROW()-ROW(MSPTasks[[#Headers],[ID]]))),INDEX(tsk_Mode,(ROW()-ROW(MSPTasks[[#Headers],[ID]])))="Manual"),"",IF(N(INDEX(tsk_ConstraintCode,(ROW()-ROW(MSPTasks[[#Headers],[ID]]))))&lt;2,"",INDEX(tsk_Constraint,(ROW()-ROW(MSPTasks[[#Headers],[ID]]))))))</f>
        <v/>
      </c>
      <c r="W74" s="126"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6" t="str">
        <f aca="false">IF(IFERROR(INDEX(tsk_Name,(ROW()-ROW(MSPTasks[[#Headers],[ID]])))="",TRUE()),"",INDEX(tsk_FcStart,(ROW()-ROW(MSPTasks[[#Headers],[ID]]))))</f>
        <v/>
      </c>
      <c r="H75" s="126"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IF(IFERROR(INDEX(tsk_Name,(ROW()-ROW(MSPTasks[[#Headers],[ID]])))="",TRUE()),"",INDEX(tsk_ResourceNames,(ROW()-ROW(MSPTasks[[#Headers],[ID]])))&amp;"")</f>
        <v/>
      </c>
      <c r="L75" s="24" t="str">
        <f aca="false">IF(IFERROR(INDEX(tsk_Name,(ROW()-ROW(MSPTasks[[#Headers],[ID]])))="",TRUE()),"",IF(INDEX(tsk_IsSummary,(ROW()-ROW(MSPTasks[[#Headers],[ID]]))),"",ROUND(INDEX(tsk_Progress,(ROW()-ROW(MSPTasks[[#Headers],[ID]])))*100,0)))</f>
        <v/>
      </c>
      <c r="M75" s="126" t="str">
        <f aca="false">IF(IFERROR(INDEX(tsk_Name,(ROW()-ROW(MSPTasks[[#Headers],[ID]])))="",TRUE()),"",IF(N(INDEX(tsk_ActStart,(ROW()-ROW(MSPTasks[[#Headers],[ID]]))))=0,"",INDEX(tsk_ActStart,(ROW()-ROW(MSPTasks[[#Headers],[ID]])))))</f>
        <v/>
      </c>
      <c r="N75" s="126" t="str">
        <f aca="false">IF(IFERROR(INDEX(tsk_Name,(ROW()-ROW(MSPTasks[[#Headers],[ID]])))="",TRUE()),"",IF(N(INDEX(tsk_ActFinish,(ROW()-ROW(MSPTasks[[#Headers],[ID]]))))=0,"",INDEX(tsk_ActFinish,(ROW()-ROW(MSPTasks[[#Headers],[ID]])))))</f>
        <v/>
      </c>
      <c r="O75" s="126" t="str">
        <f aca="false">IF(IFERROR(INDEX(tsk_Name,(ROW()-ROW(MSPTasks[[#Headers],[ID]])))="",TRUE()),"",INDEX(tsk_PlanStart,(ROW()-ROW(MSPTasks[[#Headers],[ID]]))))</f>
        <v/>
      </c>
      <c r="P75" s="126"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5" s="126" t="str">
        <f aca="false">IF(IFERROR(INDEX(tsk_Name,(ROW()-ROW(MSPTasks[[#Headers],[ID]])))="",TRUE()),"",IF(OR(INDEX(tsk_IsSummary,(ROW()-ROW(MSPTasks[[#Headers],[ID]]))),INDEX(tsk_Mode,(ROW()-ROW(MSPTasks[[#Headers],[ID]])))="Manual"),"",IF(N(INDEX(tsk_ConstraintCode,(ROW()-ROW(MSPTasks[[#Headers],[ID]]))))&lt;2,"",INDEX(tsk_Constraint,(ROW()-ROW(MSPTasks[[#Headers],[ID]]))))))</f>
        <v/>
      </c>
      <c r="W75" s="126"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6" t="str">
        <f aca="false">IF(IFERROR(INDEX(tsk_Name,(ROW()-ROW(MSPTasks[[#Headers],[ID]])))="",TRUE()),"",INDEX(tsk_FcStart,(ROW()-ROW(MSPTasks[[#Headers],[ID]]))))</f>
        <v/>
      </c>
      <c r="H76" s="126"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IF(IFERROR(INDEX(tsk_Name,(ROW()-ROW(MSPTasks[[#Headers],[ID]])))="",TRUE()),"",INDEX(tsk_ResourceNames,(ROW()-ROW(MSPTasks[[#Headers],[ID]])))&amp;"")</f>
        <v/>
      </c>
      <c r="L76" s="24" t="str">
        <f aca="false">IF(IFERROR(INDEX(tsk_Name,(ROW()-ROW(MSPTasks[[#Headers],[ID]])))="",TRUE()),"",IF(INDEX(tsk_IsSummary,(ROW()-ROW(MSPTasks[[#Headers],[ID]]))),"",ROUND(INDEX(tsk_Progress,(ROW()-ROW(MSPTasks[[#Headers],[ID]])))*100,0)))</f>
        <v/>
      </c>
      <c r="M76" s="126" t="str">
        <f aca="false">IF(IFERROR(INDEX(tsk_Name,(ROW()-ROW(MSPTasks[[#Headers],[ID]])))="",TRUE()),"",IF(N(INDEX(tsk_ActStart,(ROW()-ROW(MSPTasks[[#Headers],[ID]]))))=0,"",INDEX(tsk_ActStart,(ROW()-ROW(MSPTasks[[#Headers],[ID]])))))</f>
        <v/>
      </c>
      <c r="N76" s="126" t="str">
        <f aca="false">IF(IFERROR(INDEX(tsk_Name,(ROW()-ROW(MSPTasks[[#Headers],[ID]])))="",TRUE()),"",IF(N(INDEX(tsk_ActFinish,(ROW()-ROW(MSPTasks[[#Headers],[ID]]))))=0,"",INDEX(tsk_ActFinish,(ROW()-ROW(MSPTasks[[#Headers],[ID]])))))</f>
        <v/>
      </c>
      <c r="O76" s="126" t="str">
        <f aca="false">IF(IFERROR(INDEX(tsk_Name,(ROW()-ROW(MSPTasks[[#Headers],[ID]])))="",TRUE()),"",INDEX(tsk_PlanStart,(ROW()-ROW(MSPTasks[[#Headers],[ID]]))))</f>
        <v/>
      </c>
      <c r="P76" s="126"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6" s="126" t="str">
        <f aca="false">IF(IFERROR(INDEX(tsk_Name,(ROW()-ROW(MSPTasks[[#Headers],[ID]])))="",TRUE()),"",IF(OR(INDEX(tsk_IsSummary,(ROW()-ROW(MSPTasks[[#Headers],[ID]]))),INDEX(tsk_Mode,(ROW()-ROW(MSPTasks[[#Headers],[ID]])))="Manual"),"",IF(N(INDEX(tsk_ConstraintCode,(ROW()-ROW(MSPTasks[[#Headers],[ID]]))))&lt;2,"",INDEX(tsk_Constraint,(ROW()-ROW(MSPTasks[[#Headers],[ID]]))))))</f>
        <v/>
      </c>
      <c r="W76" s="126"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6" t="str">
        <f aca="false">IF(IFERROR(INDEX(tsk_Name,(ROW()-ROW(MSPTasks[[#Headers],[ID]])))="",TRUE()),"",INDEX(tsk_FcStart,(ROW()-ROW(MSPTasks[[#Headers],[ID]]))))</f>
        <v/>
      </c>
      <c r="H77" s="126"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IF(IFERROR(INDEX(tsk_Name,(ROW()-ROW(MSPTasks[[#Headers],[ID]])))="",TRUE()),"",INDEX(tsk_ResourceNames,(ROW()-ROW(MSPTasks[[#Headers],[ID]])))&amp;"")</f>
        <v/>
      </c>
      <c r="L77" s="24" t="str">
        <f aca="false">IF(IFERROR(INDEX(tsk_Name,(ROW()-ROW(MSPTasks[[#Headers],[ID]])))="",TRUE()),"",IF(INDEX(tsk_IsSummary,(ROW()-ROW(MSPTasks[[#Headers],[ID]]))),"",ROUND(INDEX(tsk_Progress,(ROW()-ROW(MSPTasks[[#Headers],[ID]])))*100,0)))</f>
        <v/>
      </c>
      <c r="M77" s="126" t="str">
        <f aca="false">IF(IFERROR(INDEX(tsk_Name,(ROW()-ROW(MSPTasks[[#Headers],[ID]])))="",TRUE()),"",IF(N(INDEX(tsk_ActStart,(ROW()-ROW(MSPTasks[[#Headers],[ID]]))))=0,"",INDEX(tsk_ActStart,(ROW()-ROW(MSPTasks[[#Headers],[ID]])))))</f>
        <v/>
      </c>
      <c r="N77" s="126" t="str">
        <f aca="false">IF(IFERROR(INDEX(tsk_Name,(ROW()-ROW(MSPTasks[[#Headers],[ID]])))="",TRUE()),"",IF(N(INDEX(tsk_ActFinish,(ROW()-ROW(MSPTasks[[#Headers],[ID]]))))=0,"",INDEX(tsk_ActFinish,(ROW()-ROW(MSPTasks[[#Headers],[ID]])))))</f>
        <v/>
      </c>
      <c r="O77" s="126" t="str">
        <f aca="false">IF(IFERROR(INDEX(tsk_Name,(ROW()-ROW(MSPTasks[[#Headers],[ID]])))="",TRUE()),"",INDEX(tsk_PlanStart,(ROW()-ROW(MSPTasks[[#Headers],[ID]]))))</f>
        <v/>
      </c>
      <c r="P77" s="126"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7" s="126" t="str">
        <f aca="false">IF(IFERROR(INDEX(tsk_Name,(ROW()-ROW(MSPTasks[[#Headers],[ID]])))="",TRUE()),"",IF(OR(INDEX(tsk_IsSummary,(ROW()-ROW(MSPTasks[[#Headers],[ID]]))),INDEX(tsk_Mode,(ROW()-ROW(MSPTasks[[#Headers],[ID]])))="Manual"),"",IF(N(INDEX(tsk_ConstraintCode,(ROW()-ROW(MSPTasks[[#Headers],[ID]]))))&lt;2,"",INDEX(tsk_Constraint,(ROW()-ROW(MSPTasks[[#Headers],[ID]]))))))</f>
        <v/>
      </c>
      <c r="W77" s="126"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6" t="str">
        <f aca="false">IF(IFERROR(INDEX(tsk_Name,(ROW()-ROW(MSPTasks[[#Headers],[ID]])))="",TRUE()),"",INDEX(tsk_FcStart,(ROW()-ROW(MSPTasks[[#Headers],[ID]]))))</f>
        <v/>
      </c>
      <c r="H78" s="126"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IF(IFERROR(INDEX(tsk_Name,(ROW()-ROW(MSPTasks[[#Headers],[ID]])))="",TRUE()),"",INDEX(tsk_ResourceNames,(ROW()-ROW(MSPTasks[[#Headers],[ID]])))&amp;"")</f>
        <v/>
      </c>
      <c r="L78" s="24" t="str">
        <f aca="false">IF(IFERROR(INDEX(tsk_Name,(ROW()-ROW(MSPTasks[[#Headers],[ID]])))="",TRUE()),"",IF(INDEX(tsk_IsSummary,(ROW()-ROW(MSPTasks[[#Headers],[ID]]))),"",ROUND(INDEX(tsk_Progress,(ROW()-ROW(MSPTasks[[#Headers],[ID]])))*100,0)))</f>
        <v/>
      </c>
      <c r="M78" s="126" t="str">
        <f aca="false">IF(IFERROR(INDEX(tsk_Name,(ROW()-ROW(MSPTasks[[#Headers],[ID]])))="",TRUE()),"",IF(N(INDEX(tsk_ActStart,(ROW()-ROW(MSPTasks[[#Headers],[ID]]))))=0,"",INDEX(tsk_ActStart,(ROW()-ROW(MSPTasks[[#Headers],[ID]])))))</f>
        <v/>
      </c>
      <c r="N78" s="126" t="str">
        <f aca="false">IF(IFERROR(INDEX(tsk_Name,(ROW()-ROW(MSPTasks[[#Headers],[ID]])))="",TRUE()),"",IF(N(INDEX(tsk_ActFinish,(ROW()-ROW(MSPTasks[[#Headers],[ID]]))))=0,"",INDEX(tsk_ActFinish,(ROW()-ROW(MSPTasks[[#Headers],[ID]])))))</f>
        <v/>
      </c>
      <c r="O78" s="126" t="str">
        <f aca="false">IF(IFERROR(INDEX(tsk_Name,(ROW()-ROW(MSPTasks[[#Headers],[ID]])))="",TRUE()),"",INDEX(tsk_PlanStart,(ROW()-ROW(MSPTasks[[#Headers],[ID]]))))</f>
        <v/>
      </c>
      <c r="P78" s="126"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8" s="126" t="str">
        <f aca="false">IF(IFERROR(INDEX(tsk_Name,(ROW()-ROW(MSPTasks[[#Headers],[ID]])))="",TRUE()),"",IF(OR(INDEX(tsk_IsSummary,(ROW()-ROW(MSPTasks[[#Headers],[ID]]))),INDEX(tsk_Mode,(ROW()-ROW(MSPTasks[[#Headers],[ID]])))="Manual"),"",IF(N(INDEX(tsk_ConstraintCode,(ROW()-ROW(MSPTasks[[#Headers],[ID]]))))&lt;2,"",INDEX(tsk_Constraint,(ROW()-ROW(MSPTasks[[#Headers],[ID]]))))))</f>
        <v/>
      </c>
      <c r="W78" s="126"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6" t="str">
        <f aca="false">IF(IFERROR(INDEX(tsk_Name,(ROW()-ROW(MSPTasks[[#Headers],[ID]])))="",TRUE()),"",INDEX(tsk_FcStart,(ROW()-ROW(MSPTasks[[#Headers],[ID]]))))</f>
        <v/>
      </c>
      <c r="H79" s="126"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IF(IFERROR(INDEX(tsk_Name,(ROW()-ROW(MSPTasks[[#Headers],[ID]])))="",TRUE()),"",INDEX(tsk_ResourceNames,(ROW()-ROW(MSPTasks[[#Headers],[ID]])))&amp;"")</f>
        <v/>
      </c>
      <c r="L79" s="24" t="str">
        <f aca="false">IF(IFERROR(INDEX(tsk_Name,(ROW()-ROW(MSPTasks[[#Headers],[ID]])))="",TRUE()),"",IF(INDEX(tsk_IsSummary,(ROW()-ROW(MSPTasks[[#Headers],[ID]]))),"",ROUND(INDEX(tsk_Progress,(ROW()-ROW(MSPTasks[[#Headers],[ID]])))*100,0)))</f>
        <v/>
      </c>
      <c r="M79" s="126" t="str">
        <f aca="false">IF(IFERROR(INDEX(tsk_Name,(ROW()-ROW(MSPTasks[[#Headers],[ID]])))="",TRUE()),"",IF(N(INDEX(tsk_ActStart,(ROW()-ROW(MSPTasks[[#Headers],[ID]]))))=0,"",INDEX(tsk_ActStart,(ROW()-ROW(MSPTasks[[#Headers],[ID]])))))</f>
        <v/>
      </c>
      <c r="N79" s="126" t="str">
        <f aca="false">IF(IFERROR(INDEX(tsk_Name,(ROW()-ROW(MSPTasks[[#Headers],[ID]])))="",TRUE()),"",IF(N(INDEX(tsk_ActFinish,(ROW()-ROW(MSPTasks[[#Headers],[ID]]))))=0,"",INDEX(tsk_ActFinish,(ROW()-ROW(MSPTasks[[#Headers],[ID]])))))</f>
        <v/>
      </c>
      <c r="O79" s="126" t="str">
        <f aca="false">IF(IFERROR(INDEX(tsk_Name,(ROW()-ROW(MSPTasks[[#Headers],[ID]])))="",TRUE()),"",INDEX(tsk_PlanStart,(ROW()-ROW(MSPTasks[[#Headers],[ID]]))))</f>
        <v/>
      </c>
      <c r="P79" s="126"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9" s="126" t="str">
        <f aca="false">IF(IFERROR(INDEX(tsk_Name,(ROW()-ROW(MSPTasks[[#Headers],[ID]])))="",TRUE()),"",IF(OR(INDEX(tsk_IsSummary,(ROW()-ROW(MSPTasks[[#Headers],[ID]]))),INDEX(tsk_Mode,(ROW()-ROW(MSPTasks[[#Headers],[ID]])))="Manual"),"",IF(N(INDEX(tsk_ConstraintCode,(ROW()-ROW(MSPTasks[[#Headers],[ID]]))))&lt;2,"",INDEX(tsk_Constraint,(ROW()-ROW(MSPTasks[[#Headers],[ID]]))))))</f>
        <v/>
      </c>
      <c r="W79" s="126"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6" t="str">
        <f aca="false">IF(IFERROR(INDEX(tsk_Name,(ROW()-ROW(MSPTasks[[#Headers],[ID]])))="",TRUE()),"",INDEX(tsk_FcStart,(ROW()-ROW(MSPTasks[[#Headers],[ID]]))))</f>
        <v/>
      </c>
      <c r="H80" s="126"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IF(IFERROR(INDEX(tsk_Name,(ROW()-ROW(MSPTasks[[#Headers],[ID]])))="",TRUE()),"",INDEX(tsk_ResourceNames,(ROW()-ROW(MSPTasks[[#Headers],[ID]])))&amp;"")</f>
        <v/>
      </c>
      <c r="L80" s="24" t="str">
        <f aca="false">IF(IFERROR(INDEX(tsk_Name,(ROW()-ROW(MSPTasks[[#Headers],[ID]])))="",TRUE()),"",IF(INDEX(tsk_IsSummary,(ROW()-ROW(MSPTasks[[#Headers],[ID]]))),"",ROUND(INDEX(tsk_Progress,(ROW()-ROW(MSPTasks[[#Headers],[ID]])))*100,0)))</f>
        <v/>
      </c>
      <c r="M80" s="126" t="str">
        <f aca="false">IF(IFERROR(INDEX(tsk_Name,(ROW()-ROW(MSPTasks[[#Headers],[ID]])))="",TRUE()),"",IF(N(INDEX(tsk_ActStart,(ROW()-ROW(MSPTasks[[#Headers],[ID]]))))=0,"",INDEX(tsk_ActStart,(ROW()-ROW(MSPTasks[[#Headers],[ID]])))))</f>
        <v/>
      </c>
      <c r="N80" s="126" t="str">
        <f aca="false">IF(IFERROR(INDEX(tsk_Name,(ROW()-ROW(MSPTasks[[#Headers],[ID]])))="",TRUE()),"",IF(N(INDEX(tsk_ActFinish,(ROW()-ROW(MSPTasks[[#Headers],[ID]]))))=0,"",INDEX(tsk_ActFinish,(ROW()-ROW(MSPTasks[[#Headers],[ID]])))))</f>
        <v/>
      </c>
      <c r="O80" s="126" t="str">
        <f aca="false">IF(IFERROR(INDEX(tsk_Name,(ROW()-ROW(MSPTasks[[#Headers],[ID]])))="",TRUE()),"",INDEX(tsk_PlanStart,(ROW()-ROW(MSPTasks[[#Headers],[ID]]))))</f>
        <v/>
      </c>
      <c r="P80" s="126"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0" s="126" t="str">
        <f aca="false">IF(IFERROR(INDEX(tsk_Name,(ROW()-ROW(MSPTasks[[#Headers],[ID]])))="",TRUE()),"",IF(OR(INDEX(tsk_IsSummary,(ROW()-ROW(MSPTasks[[#Headers],[ID]]))),INDEX(tsk_Mode,(ROW()-ROW(MSPTasks[[#Headers],[ID]])))="Manual"),"",IF(N(INDEX(tsk_ConstraintCode,(ROW()-ROW(MSPTasks[[#Headers],[ID]]))))&lt;2,"",INDEX(tsk_Constraint,(ROW()-ROW(MSPTasks[[#Headers],[ID]]))))))</f>
        <v/>
      </c>
      <c r="W80" s="126"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6" t="str">
        <f aca="false">IF(IFERROR(INDEX(tsk_Name,(ROW()-ROW(MSPTasks[[#Headers],[ID]])))="",TRUE()),"",INDEX(tsk_FcStart,(ROW()-ROW(MSPTasks[[#Headers],[ID]]))))</f>
        <v/>
      </c>
      <c r="H81" s="126"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IF(IFERROR(INDEX(tsk_Name,(ROW()-ROW(MSPTasks[[#Headers],[ID]])))="",TRUE()),"",INDEX(tsk_ResourceNames,(ROW()-ROW(MSPTasks[[#Headers],[ID]])))&amp;"")</f>
        <v/>
      </c>
      <c r="L81" s="24" t="str">
        <f aca="false">IF(IFERROR(INDEX(tsk_Name,(ROW()-ROW(MSPTasks[[#Headers],[ID]])))="",TRUE()),"",IF(INDEX(tsk_IsSummary,(ROW()-ROW(MSPTasks[[#Headers],[ID]]))),"",ROUND(INDEX(tsk_Progress,(ROW()-ROW(MSPTasks[[#Headers],[ID]])))*100,0)))</f>
        <v/>
      </c>
      <c r="M81" s="126" t="str">
        <f aca="false">IF(IFERROR(INDEX(tsk_Name,(ROW()-ROW(MSPTasks[[#Headers],[ID]])))="",TRUE()),"",IF(N(INDEX(tsk_ActStart,(ROW()-ROW(MSPTasks[[#Headers],[ID]]))))=0,"",INDEX(tsk_ActStart,(ROW()-ROW(MSPTasks[[#Headers],[ID]])))))</f>
        <v/>
      </c>
      <c r="N81" s="126" t="str">
        <f aca="false">IF(IFERROR(INDEX(tsk_Name,(ROW()-ROW(MSPTasks[[#Headers],[ID]])))="",TRUE()),"",IF(N(INDEX(tsk_ActFinish,(ROW()-ROW(MSPTasks[[#Headers],[ID]]))))=0,"",INDEX(tsk_ActFinish,(ROW()-ROW(MSPTasks[[#Headers],[ID]])))))</f>
        <v/>
      </c>
      <c r="O81" s="126" t="str">
        <f aca="false">IF(IFERROR(INDEX(tsk_Name,(ROW()-ROW(MSPTasks[[#Headers],[ID]])))="",TRUE()),"",INDEX(tsk_PlanStart,(ROW()-ROW(MSPTasks[[#Headers],[ID]]))))</f>
        <v/>
      </c>
      <c r="P81" s="126"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1" s="126" t="str">
        <f aca="false">IF(IFERROR(INDEX(tsk_Name,(ROW()-ROW(MSPTasks[[#Headers],[ID]])))="",TRUE()),"",IF(OR(INDEX(tsk_IsSummary,(ROW()-ROW(MSPTasks[[#Headers],[ID]]))),INDEX(tsk_Mode,(ROW()-ROW(MSPTasks[[#Headers],[ID]])))="Manual"),"",IF(N(INDEX(tsk_ConstraintCode,(ROW()-ROW(MSPTasks[[#Headers],[ID]]))))&lt;2,"",INDEX(tsk_Constraint,(ROW()-ROW(MSPTasks[[#Headers],[ID]]))))))</f>
        <v/>
      </c>
      <c r="W81" s="126"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6" t="str">
        <f aca="false">IF(IFERROR(INDEX(tsk_Name,(ROW()-ROW(MSPTasks[[#Headers],[ID]])))="",TRUE()),"",INDEX(tsk_FcStart,(ROW()-ROW(MSPTasks[[#Headers],[ID]]))))</f>
        <v/>
      </c>
      <c r="H82" s="126"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IF(IFERROR(INDEX(tsk_Name,(ROW()-ROW(MSPTasks[[#Headers],[ID]])))="",TRUE()),"",INDEX(tsk_ResourceNames,(ROW()-ROW(MSPTasks[[#Headers],[ID]])))&amp;"")</f>
        <v/>
      </c>
      <c r="L82" s="24" t="str">
        <f aca="false">IF(IFERROR(INDEX(tsk_Name,(ROW()-ROW(MSPTasks[[#Headers],[ID]])))="",TRUE()),"",IF(INDEX(tsk_IsSummary,(ROW()-ROW(MSPTasks[[#Headers],[ID]]))),"",ROUND(INDEX(tsk_Progress,(ROW()-ROW(MSPTasks[[#Headers],[ID]])))*100,0)))</f>
        <v/>
      </c>
      <c r="M82" s="126" t="str">
        <f aca="false">IF(IFERROR(INDEX(tsk_Name,(ROW()-ROW(MSPTasks[[#Headers],[ID]])))="",TRUE()),"",IF(N(INDEX(tsk_ActStart,(ROW()-ROW(MSPTasks[[#Headers],[ID]]))))=0,"",INDEX(tsk_ActStart,(ROW()-ROW(MSPTasks[[#Headers],[ID]])))))</f>
        <v/>
      </c>
      <c r="N82" s="126" t="str">
        <f aca="false">IF(IFERROR(INDEX(tsk_Name,(ROW()-ROW(MSPTasks[[#Headers],[ID]])))="",TRUE()),"",IF(N(INDEX(tsk_ActFinish,(ROW()-ROW(MSPTasks[[#Headers],[ID]]))))=0,"",INDEX(tsk_ActFinish,(ROW()-ROW(MSPTasks[[#Headers],[ID]])))))</f>
        <v/>
      </c>
      <c r="O82" s="126" t="str">
        <f aca="false">IF(IFERROR(INDEX(tsk_Name,(ROW()-ROW(MSPTasks[[#Headers],[ID]])))="",TRUE()),"",INDEX(tsk_PlanStart,(ROW()-ROW(MSPTasks[[#Headers],[ID]]))))</f>
        <v/>
      </c>
      <c r="P82" s="126"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2" s="126" t="str">
        <f aca="false">IF(IFERROR(INDEX(tsk_Name,(ROW()-ROW(MSPTasks[[#Headers],[ID]])))="",TRUE()),"",IF(OR(INDEX(tsk_IsSummary,(ROW()-ROW(MSPTasks[[#Headers],[ID]]))),INDEX(tsk_Mode,(ROW()-ROW(MSPTasks[[#Headers],[ID]])))="Manual"),"",IF(N(INDEX(tsk_ConstraintCode,(ROW()-ROW(MSPTasks[[#Headers],[ID]]))))&lt;2,"",INDEX(tsk_Constraint,(ROW()-ROW(MSPTasks[[#Headers],[ID]]))))))</f>
        <v/>
      </c>
      <c r="W82" s="126"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6" t="str">
        <f aca="false">IF(IFERROR(INDEX(tsk_Name,(ROW()-ROW(MSPTasks[[#Headers],[ID]])))="",TRUE()),"",INDEX(tsk_FcStart,(ROW()-ROW(MSPTasks[[#Headers],[ID]]))))</f>
        <v/>
      </c>
      <c r="H83" s="126"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IF(IFERROR(INDEX(tsk_Name,(ROW()-ROW(MSPTasks[[#Headers],[ID]])))="",TRUE()),"",INDEX(tsk_ResourceNames,(ROW()-ROW(MSPTasks[[#Headers],[ID]])))&amp;"")</f>
        <v/>
      </c>
      <c r="L83" s="24" t="str">
        <f aca="false">IF(IFERROR(INDEX(tsk_Name,(ROW()-ROW(MSPTasks[[#Headers],[ID]])))="",TRUE()),"",IF(INDEX(tsk_IsSummary,(ROW()-ROW(MSPTasks[[#Headers],[ID]]))),"",ROUND(INDEX(tsk_Progress,(ROW()-ROW(MSPTasks[[#Headers],[ID]])))*100,0)))</f>
        <v/>
      </c>
      <c r="M83" s="126" t="str">
        <f aca="false">IF(IFERROR(INDEX(tsk_Name,(ROW()-ROW(MSPTasks[[#Headers],[ID]])))="",TRUE()),"",IF(N(INDEX(tsk_ActStart,(ROW()-ROW(MSPTasks[[#Headers],[ID]]))))=0,"",INDEX(tsk_ActStart,(ROW()-ROW(MSPTasks[[#Headers],[ID]])))))</f>
        <v/>
      </c>
      <c r="N83" s="126" t="str">
        <f aca="false">IF(IFERROR(INDEX(tsk_Name,(ROW()-ROW(MSPTasks[[#Headers],[ID]])))="",TRUE()),"",IF(N(INDEX(tsk_ActFinish,(ROW()-ROW(MSPTasks[[#Headers],[ID]]))))=0,"",INDEX(tsk_ActFinish,(ROW()-ROW(MSPTasks[[#Headers],[ID]])))))</f>
        <v/>
      </c>
      <c r="O83" s="126" t="str">
        <f aca="false">IF(IFERROR(INDEX(tsk_Name,(ROW()-ROW(MSPTasks[[#Headers],[ID]])))="",TRUE()),"",INDEX(tsk_PlanStart,(ROW()-ROW(MSPTasks[[#Headers],[ID]]))))</f>
        <v/>
      </c>
      <c r="P83" s="126"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3" s="126" t="str">
        <f aca="false">IF(IFERROR(INDEX(tsk_Name,(ROW()-ROW(MSPTasks[[#Headers],[ID]])))="",TRUE()),"",IF(OR(INDEX(tsk_IsSummary,(ROW()-ROW(MSPTasks[[#Headers],[ID]]))),INDEX(tsk_Mode,(ROW()-ROW(MSPTasks[[#Headers],[ID]])))="Manual"),"",IF(N(INDEX(tsk_ConstraintCode,(ROW()-ROW(MSPTasks[[#Headers],[ID]]))))&lt;2,"",INDEX(tsk_Constraint,(ROW()-ROW(MSPTasks[[#Headers],[ID]]))))))</f>
        <v/>
      </c>
      <c r="W83" s="126"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6" t="str">
        <f aca="false">IF(IFERROR(INDEX(tsk_Name,(ROW()-ROW(MSPTasks[[#Headers],[ID]])))="",TRUE()),"",INDEX(tsk_FcStart,(ROW()-ROW(MSPTasks[[#Headers],[ID]]))))</f>
        <v/>
      </c>
      <c r="H84" s="126"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IF(IFERROR(INDEX(tsk_Name,(ROW()-ROW(MSPTasks[[#Headers],[ID]])))="",TRUE()),"",INDEX(tsk_ResourceNames,(ROW()-ROW(MSPTasks[[#Headers],[ID]])))&amp;"")</f>
        <v/>
      </c>
      <c r="L84" s="24" t="str">
        <f aca="false">IF(IFERROR(INDEX(tsk_Name,(ROW()-ROW(MSPTasks[[#Headers],[ID]])))="",TRUE()),"",IF(INDEX(tsk_IsSummary,(ROW()-ROW(MSPTasks[[#Headers],[ID]]))),"",ROUND(INDEX(tsk_Progress,(ROW()-ROW(MSPTasks[[#Headers],[ID]])))*100,0)))</f>
        <v/>
      </c>
      <c r="M84" s="126" t="str">
        <f aca="false">IF(IFERROR(INDEX(tsk_Name,(ROW()-ROW(MSPTasks[[#Headers],[ID]])))="",TRUE()),"",IF(N(INDEX(tsk_ActStart,(ROW()-ROW(MSPTasks[[#Headers],[ID]]))))=0,"",INDEX(tsk_ActStart,(ROW()-ROW(MSPTasks[[#Headers],[ID]])))))</f>
        <v/>
      </c>
      <c r="N84" s="126" t="str">
        <f aca="false">IF(IFERROR(INDEX(tsk_Name,(ROW()-ROW(MSPTasks[[#Headers],[ID]])))="",TRUE()),"",IF(N(INDEX(tsk_ActFinish,(ROW()-ROW(MSPTasks[[#Headers],[ID]]))))=0,"",INDEX(tsk_ActFinish,(ROW()-ROW(MSPTasks[[#Headers],[ID]])))))</f>
        <v/>
      </c>
      <c r="O84" s="126" t="str">
        <f aca="false">IF(IFERROR(INDEX(tsk_Name,(ROW()-ROW(MSPTasks[[#Headers],[ID]])))="",TRUE()),"",INDEX(tsk_PlanStart,(ROW()-ROW(MSPTasks[[#Headers],[ID]]))))</f>
        <v/>
      </c>
      <c r="P84" s="126"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4" s="126" t="str">
        <f aca="false">IF(IFERROR(INDEX(tsk_Name,(ROW()-ROW(MSPTasks[[#Headers],[ID]])))="",TRUE()),"",IF(OR(INDEX(tsk_IsSummary,(ROW()-ROW(MSPTasks[[#Headers],[ID]]))),INDEX(tsk_Mode,(ROW()-ROW(MSPTasks[[#Headers],[ID]])))="Manual"),"",IF(N(INDEX(tsk_ConstraintCode,(ROW()-ROW(MSPTasks[[#Headers],[ID]]))))&lt;2,"",INDEX(tsk_Constraint,(ROW()-ROW(MSPTasks[[#Headers],[ID]]))))))</f>
        <v/>
      </c>
      <c r="W84" s="126"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6" t="str">
        <f aca="false">IF(IFERROR(INDEX(tsk_Name,(ROW()-ROW(MSPTasks[[#Headers],[ID]])))="",TRUE()),"",INDEX(tsk_FcStart,(ROW()-ROW(MSPTasks[[#Headers],[ID]]))))</f>
        <v/>
      </c>
      <c r="H85" s="126"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IF(IFERROR(INDEX(tsk_Name,(ROW()-ROW(MSPTasks[[#Headers],[ID]])))="",TRUE()),"",INDEX(tsk_ResourceNames,(ROW()-ROW(MSPTasks[[#Headers],[ID]])))&amp;"")</f>
        <v/>
      </c>
      <c r="L85" s="24" t="str">
        <f aca="false">IF(IFERROR(INDEX(tsk_Name,(ROW()-ROW(MSPTasks[[#Headers],[ID]])))="",TRUE()),"",IF(INDEX(tsk_IsSummary,(ROW()-ROW(MSPTasks[[#Headers],[ID]]))),"",ROUND(INDEX(tsk_Progress,(ROW()-ROW(MSPTasks[[#Headers],[ID]])))*100,0)))</f>
        <v/>
      </c>
      <c r="M85" s="126" t="str">
        <f aca="false">IF(IFERROR(INDEX(tsk_Name,(ROW()-ROW(MSPTasks[[#Headers],[ID]])))="",TRUE()),"",IF(N(INDEX(tsk_ActStart,(ROW()-ROW(MSPTasks[[#Headers],[ID]]))))=0,"",INDEX(tsk_ActStart,(ROW()-ROW(MSPTasks[[#Headers],[ID]])))))</f>
        <v/>
      </c>
      <c r="N85" s="126" t="str">
        <f aca="false">IF(IFERROR(INDEX(tsk_Name,(ROW()-ROW(MSPTasks[[#Headers],[ID]])))="",TRUE()),"",IF(N(INDEX(tsk_ActFinish,(ROW()-ROW(MSPTasks[[#Headers],[ID]]))))=0,"",INDEX(tsk_ActFinish,(ROW()-ROW(MSPTasks[[#Headers],[ID]])))))</f>
        <v/>
      </c>
      <c r="O85" s="126" t="str">
        <f aca="false">IF(IFERROR(INDEX(tsk_Name,(ROW()-ROW(MSPTasks[[#Headers],[ID]])))="",TRUE()),"",INDEX(tsk_PlanStart,(ROW()-ROW(MSPTasks[[#Headers],[ID]]))))</f>
        <v/>
      </c>
      <c r="P85" s="126"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5" s="126" t="str">
        <f aca="false">IF(IFERROR(INDEX(tsk_Name,(ROW()-ROW(MSPTasks[[#Headers],[ID]])))="",TRUE()),"",IF(OR(INDEX(tsk_IsSummary,(ROW()-ROW(MSPTasks[[#Headers],[ID]]))),INDEX(tsk_Mode,(ROW()-ROW(MSPTasks[[#Headers],[ID]])))="Manual"),"",IF(N(INDEX(tsk_ConstraintCode,(ROW()-ROW(MSPTasks[[#Headers],[ID]]))))&lt;2,"",INDEX(tsk_Constraint,(ROW()-ROW(MSPTasks[[#Headers],[ID]]))))))</f>
        <v/>
      </c>
      <c r="W85" s="126"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6" t="str">
        <f aca="false">IF(IFERROR(INDEX(tsk_Name,(ROW()-ROW(MSPTasks[[#Headers],[ID]])))="",TRUE()),"",INDEX(tsk_FcStart,(ROW()-ROW(MSPTasks[[#Headers],[ID]]))))</f>
        <v/>
      </c>
      <c r="H86" s="126"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IF(IFERROR(INDEX(tsk_Name,(ROW()-ROW(MSPTasks[[#Headers],[ID]])))="",TRUE()),"",INDEX(tsk_ResourceNames,(ROW()-ROW(MSPTasks[[#Headers],[ID]])))&amp;"")</f>
        <v/>
      </c>
      <c r="L86" s="24" t="str">
        <f aca="false">IF(IFERROR(INDEX(tsk_Name,(ROW()-ROW(MSPTasks[[#Headers],[ID]])))="",TRUE()),"",IF(INDEX(tsk_IsSummary,(ROW()-ROW(MSPTasks[[#Headers],[ID]]))),"",ROUND(INDEX(tsk_Progress,(ROW()-ROW(MSPTasks[[#Headers],[ID]])))*100,0)))</f>
        <v/>
      </c>
      <c r="M86" s="126" t="str">
        <f aca="false">IF(IFERROR(INDEX(tsk_Name,(ROW()-ROW(MSPTasks[[#Headers],[ID]])))="",TRUE()),"",IF(N(INDEX(tsk_ActStart,(ROW()-ROW(MSPTasks[[#Headers],[ID]]))))=0,"",INDEX(tsk_ActStart,(ROW()-ROW(MSPTasks[[#Headers],[ID]])))))</f>
        <v/>
      </c>
      <c r="N86" s="126" t="str">
        <f aca="false">IF(IFERROR(INDEX(tsk_Name,(ROW()-ROW(MSPTasks[[#Headers],[ID]])))="",TRUE()),"",IF(N(INDEX(tsk_ActFinish,(ROW()-ROW(MSPTasks[[#Headers],[ID]]))))=0,"",INDEX(tsk_ActFinish,(ROW()-ROW(MSPTasks[[#Headers],[ID]])))))</f>
        <v/>
      </c>
      <c r="O86" s="126" t="str">
        <f aca="false">IF(IFERROR(INDEX(tsk_Name,(ROW()-ROW(MSPTasks[[#Headers],[ID]])))="",TRUE()),"",INDEX(tsk_PlanStart,(ROW()-ROW(MSPTasks[[#Headers],[ID]]))))</f>
        <v/>
      </c>
      <c r="P86" s="126"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6" s="126" t="str">
        <f aca="false">IF(IFERROR(INDEX(tsk_Name,(ROW()-ROW(MSPTasks[[#Headers],[ID]])))="",TRUE()),"",IF(OR(INDEX(tsk_IsSummary,(ROW()-ROW(MSPTasks[[#Headers],[ID]]))),INDEX(tsk_Mode,(ROW()-ROW(MSPTasks[[#Headers],[ID]])))="Manual"),"",IF(N(INDEX(tsk_ConstraintCode,(ROW()-ROW(MSPTasks[[#Headers],[ID]]))))&lt;2,"",INDEX(tsk_Constraint,(ROW()-ROW(MSPTasks[[#Headers],[ID]]))))))</f>
        <v/>
      </c>
      <c r="W86" s="126"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6" t="str">
        <f aca="false">IF(IFERROR(INDEX(tsk_Name,(ROW()-ROW(MSPTasks[[#Headers],[ID]])))="",TRUE()),"",INDEX(tsk_FcStart,(ROW()-ROW(MSPTasks[[#Headers],[ID]]))))</f>
        <v/>
      </c>
      <c r="H87" s="126"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IF(IFERROR(INDEX(tsk_Name,(ROW()-ROW(MSPTasks[[#Headers],[ID]])))="",TRUE()),"",INDEX(tsk_ResourceNames,(ROW()-ROW(MSPTasks[[#Headers],[ID]])))&amp;"")</f>
        <v/>
      </c>
      <c r="L87" s="24" t="str">
        <f aca="false">IF(IFERROR(INDEX(tsk_Name,(ROW()-ROW(MSPTasks[[#Headers],[ID]])))="",TRUE()),"",IF(INDEX(tsk_IsSummary,(ROW()-ROW(MSPTasks[[#Headers],[ID]]))),"",ROUND(INDEX(tsk_Progress,(ROW()-ROW(MSPTasks[[#Headers],[ID]])))*100,0)))</f>
        <v/>
      </c>
      <c r="M87" s="126" t="str">
        <f aca="false">IF(IFERROR(INDEX(tsk_Name,(ROW()-ROW(MSPTasks[[#Headers],[ID]])))="",TRUE()),"",IF(N(INDEX(tsk_ActStart,(ROW()-ROW(MSPTasks[[#Headers],[ID]]))))=0,"",INDEX(tsk_ActStart,(ROW()-ROW(MSPTasks[[#Headers],[ID]])))))</f>
        <v/>
      </c>
      <c r="N87" s="126" t="str">
        <f aca="false">IF(IFERROR(INDEX(tsk_Name,(ROW()-ROW(MSPTasks[[#Headers],[ID]])))="",TRUE()),"",IF(N(INDEX(tsk_ActFinish,(ROW()-ROW(MSPTasks[[#Headers],[ID]]))))=0,"",INDEX(tsk_ActFinish,(ROW()-ROW(MSPTasks[[#Headers],[ID]])))))</f>
        <v/>
      </c>
      <c r="O87" s="126" t="str">
        <f aca="false">IF(IFERROR(INDEX(tsk_Name,(ROW()-ROW(MSPTasks[[#Headers],[ID]])))="",TRUE()),"",INDEX(tsk_PlanStart,(ROW()-ROW(MSPTasks[[#Headers],[ID]]))))</f>
        <v/>
      </c>
      <c r="P87" s="126"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7" s="126" t="str">
        <f aca="false">IF(IFERROR(INDEX(tsk_Name,(ROW()-ROW(MSPTasks[[#Headers],[ID]])))="",TRUE()),"",IF(OR(INDEX(tsk_IsSummary,(ROW()-ROW(MSPTasks[[#Headers],[ID]]))),INDEX(tsk_Mode,(ROW()-ROW(MSPTasks[[#Headers],[ID]])))="Manual"),"",IF(N(INDEX(tsk_ConstraintCode,(ROW()-ROW(MSPTasks[[#Headers],[ID]]))))&lt;2,"",INDEX(tsk_Constraint,(ROW()-ROW(MSPTasks[[#Headers],[ID]]))))))</f>
        <v/>
      </c>
      <c r="W87" s="126"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6" t="str">
        <f aca="false">IF(IFERROR(INDEX(tsk_Name,(ROW()-ROW(MSPTasks[[#Headers],[ID]])))="",TRUE()),"",INDEX(tsk_FcStart,(ROW()-ROW(MSPTasks[[#Headers],[ID]]))))</f>
        <v/>
      </c>
      <c r="H88" s="126"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IF(IFERROR(INDEX(tsk_Name,(ROW()-ROW(MSPTasks[[#Headers],[ID]])))="",TRUE()),"",INDEX(tsk_ResourceNames,(ROW()-ROW(MSPTasks[[#Headers],[ID]])))&amp;"")</f>
        <v/>
      </c>
      <c r="L88" s="24" t="str">
        <f aca="false">IF(IFERROR(INDEX(tsk_Name,(ROW()-ROW(MSPTasks[[#Headers],[ID]])))="",TRUE()),"",IF(INDEX(tsk_IsSummary,(ROW()-ROW(MSPTasks[[#Headers],[ID]]))),"",ROUND(INDEX(tsk_Progress,(ROW()-ROW(MSPTasks[[#Headers],[ID]])))*100,0)))</f>
        <v/>
      </c>
      <c r="M88" s="126" t="str">
        <f aca="false">IF(IFERROR(INDEX(tsk_Name,(ROW()-ROW(MSPTasks[[#Headers],[ID]])))="",TRUE()),"",IF(N(INDEX(tsk_ActStart,(ROW()-ROW(MSPTasks[[#Headers],[ID]]))))=0,"",INDEX(tsk_ActStart,(ROW()-ROW(MSPTasks[[#Headers],[ID]])))))</f>
        <v/>
      </c>
      <c r="N88" s="126" t="str">
        <f aca="false">IF(IFERROR(INDEX(tsk_Name,(ROW()-ROW(MSPTasks[[#Headers],[ID]])))="",TRUE()),"",IF(N(INDEX(tsk_ActFinish,(ROW()-ROW(MSPTasks[[#Headers],[ID]]))))=0,"",INDEX(tsk_ActFinish,(ROW()-ROW(MSPTasks[[#Headers],[ID]])))))</f>
        <v/>
      </c>
      <c r="O88" s="126" t="str">
        <f aca="false">IF(IFERROR(INDEX(tsk_Name,(ROW()-ROW(MSPTasks[[#Headers],[ID]])))="",TRUE()),"",INDEX(tsk_PlanStart,(ROW()-ROW(MSPTasks[[#Headers],[ID]]))))</f>
        <v/>
      </c>
      <c r="P88" s="126"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8" s="126" t="str">
        <f aca="false">IF(IFERROR(INDEX(tsk_Name,(ROW()-ROW(MSPTasks[[#Headers],[ID]])))="",TRUE()),"",IF(OR(INDEX(tsk_IsSummary,(ROW()-ROW(MSPTasks[[#Headers],[ID]]))),INDEX(tsk_Mode,(ROW()-ROW(MSPTasks[[#Headers],[ID]])))="Manual"),"",IF(N(INDEX(tsk_ConstraintCode,(ROW()-ROW(MSPTasks[[#Headers],[ID]]))))&lt;2,"",INDEX(tsk_Constraint,(ROW()-ROW(MSPTasks[[#Headers],[ID]]))))))</f>
        <v/>
      </c>
      <c r="W88" s="126"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6" t="str">
        <f aca="false">IF(IFERROR(INDEX(tsk_Name,(ROW()-ROW(MSPTasks[[#Headers],[ID]])))="",TRUE()),"",INDEX(tsk_FcStart,(ROW()-ROW(MSPTasks[[#Headers],[ID]]))))</f>
        <v/>
      </c>
      <c r="H89" s="126"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IF(IFERROR(INDEX(tsk_Name,(ROW()-ROW(MSPTasks[[#Headers],[ID]])))="",TRUE()),"",INDEX(tsk_ResourceNames,(ROW()-ROW(MSPTasks[[#Headers],[ID]])))&amp;"")</f>
        <v/>
      </c>
      <c r="L89" s="24" t="str">
        <f aca="false">IF(IFERROR(INDEX(tsk_Name,(ROW()-ROW(MSPTasks[[#Headers],[ID]])))="",TRUE()),"",IF(INDEX(tsk_IsSummary,(ROW()-ROW(MSPTasks[[#Headers],[ID]]))),"",ROUND(INDEX(tsk_Progress,(ROW()-ROW(MSPTasks[[#Headers],[ID]])))*100,0)))</f>
        <v/>
      </c>
      <c r="M89" s="126" t="str">
        <f aca="false">IF(IFERROR(INDEX(tsk_Name,(ROW()-ROW(MSPTasks[[#Headers],[ID]])))="",TRUE()),"",IF(N(INDEX(tsk_ActStart,(ROW()-ROW(MSPTasks[[#Headers],[ID]]))))=0,"",INDEX(tsk_ActStart,(ROW()-ROW(MSPTasks[[#Headers],[ID]])))))</f>
        <v/>
      </c>
      <c r="N89" s="126" t="str">
        <f aca="false">IF(IFERROR(INDEX(tsk_Name,(ROW()-ROW(MSPTasks[[#Headers],[ID]])))="",TRUE()),"",IF(N(INDEX(tsk_ActFinish,(ROW()-ROW(MSPTasks[[#Headers],[ID]]))))=0,"",INDEX(tsk_ActFinish,(ROW()-ROW(MSPTasks[[#Headers],[ID]])))))</f>
        <v/>
      </c>
      <c r="O89" s="126" t="str">
        <f aca="false">IF(IFERROR(INDEX(tsk_Name,(ROW()-ROW(MSPTasks[[#Headers],[ID]])))="",TRUE()),"",INDEX(tsk_PlanStart,(ROW()-ROW(MSPTasks[[#Headers],[ID]]))))</f>
        <v/>
      </c>
      <c r="P89" s="126"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9" s="126" t="str">
        <f aca="false">IF(IFERROR(INDEX(tsk_Name,(ROW()-ROW(MSPTasks[[#Headers],[ID]])))="",TRUE()),"",IF(OR(INDEX(tsk_IsSummary,(ROW()-ROW(MSPTasks[[#Headers],[ID]]))),INDEX(tsk_Mode,(ROW()-ROW(MSPTasks[[#Headers],[ID]])))="Manual"),"",IF(N(INDEX(tsk_ConstraintCode,(ROW()-ROW(MSPTasks[[#Headers],[ID]]))))&lt;2,"",INDEX(tsk_Constraint,(ROW()-ROW(MSPTasks[[#Headers],[ID]]))))))</f>
        <v/>
      </c>
      <c r="W89" s="126"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6" t="str">
        <f aca="false">IF(IFERROR(INDEX(tsk_Name,(ROW()-ROW(MSPTasks[[#Headers],[ID]])))="",TRUE()),"",INDEX(tsk_FcStart,(ROW()-ROW(MSPTasks[[#Headers],[ID]]))))</f>
        <v/>
      </c>
      <c r="H90" s="126"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IF(IFERROR(INDEX(tsk_Name,(ROW()-ROW(MSPTasks[[#Headers],[ID]])))="",TRUE()),"",INDEX(tsk_ResourceNames,(ROW()-ROW(MSPTasks[[#Headers],[ID]])))&amp;"")</f>
        <v/>
      </c>
      <c r="L90" s="24" t="str">
        <f aca="false">IF(IFERROR(INDEX(tsk_Name,(ROW()-ROW(MSPTasks[[#Headers],[ID]])))="",TRUE()),"",IF(INDEX(tsk_IsSummary,(ROW()-ROW(MSPTasks[[#Headers],[ID]]))),"",ROUND(INDEX(tsk_Progress,(ROW()-ROW(MSPTasks[[#Headers],[ID]])))*100,0)))</f>
        <v/>
      </c>
      <c r="M90" s="126" t="str">
        <f aca="false">IF(IFERROR(INDEX(tsk_Name,(ROW()-ROW(MSPTasks[[#Headers],[ID]])))="",TRUE()),"",IF(N(INDEX(tsk_ActStart,(ROW()-ROW(MSPTasks[[#Headers],[ID]]))))=0,"",INDEX(tsk_ActStart,(ROW()-ROW(MSPTasks[[#Headers],[ID]])))))</f>
        <v/>
      </c>
      <c r="N90" s="126" t="str">
        <f aca="false">IF(IFERROR(INDEX(tsk_Name,(ROW()-ROW(MSPTasks[[#Headers],[ID]])))="",TRUE()),"",IF(N(INDEX(tsk_ActFinish,(ROW()-ROW(MSPTasks[[#Headers],[ID]]))))=0,"",INDEX(tsk_ActFinish,(ROW()-ROW(MSPTasks[[#Headers],[ID]])))))</f>
        <v/>
      </c>
      <c r="O90" s="126" t="str">
        <f aca="false">IF(IFERROR(INDEX(tsk_Name,(ROW()-ROW(MSPTasks[[#Headers],[ID]])))="",TRUE()),"",INDEX(tsk_PlanStart,(ROW()-ROW(MSPTasks[[#Headers],[ID]]))))</f>
        <v/>
      </c>
      <c r="P90" s="126"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0" s="126" t="str">
        <f aca="false">IF(IFERROR(INDEX(tsk_Name,(ROW()-ROW(MSPTasks[[#Headers],[ID]])))="",TRUE()),"",IF(OR(INDEX(tsk_IsSummary,(ROW()-ROW(MSPTasks[[#Headers],[ID]]))),INDEX(tsk_Mode,(ROW()-ROW(MSPTasks[[#Headers],[ID]])))="Manual"),"",IF(N(INDEX(tsk_ConstraintCode,(ROW()-ROW(MSPTasks[[#Headers],[ID]]))))&lt;2,"",INDEX(tsk_Constraint,(ROW()-ROW(MSPTasks[[#Headers],[ID]]))))))</f>
        <v/>
      </c>
      <c r="W90" s="126"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6" t="str">
        <f aca="false">IF(IFERROR(INDEX(tsk_Name,(ROW()-ROW(MSPTasks[[#Headers],[ID]])))="",TRUE()),"",INDEX(tsk_FcStart,(ROW()-ROW(MSPTasks[[#Headers],[ID]]))))</f>
        <v/>
      </c>
      <c r="H91" s="126"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IF(IFERROR(INDEX(tsk_Name,(ROW()-ROW(MSPTasks[[#Headers],[ID]])))="",TRUE()),"",INDEX(tsk_ResourceNames,(ROW()-ROW(MSPTasks[[#Headers],[ID]])))&amp;"")</f>
        <v/>
      </c>
      <c r="L91" s="24" t="str">
        <f aca="false">IF(IFERROR(INDEX(tsk_Name,(ROW()-ROW(MSPTasks[[#Headers],[ID]])))="",TRUE()),"",IF(INDEX(tsk_IsSummary,(ROW()-ROW(MSPTasks[[#Headers],[ID]]))),"",ROUND(INDEX(tsk_Progress,(ROW()-ROW(MSPTasks[[#Headers],[ID]])))*100,0)))</f>
        <v/>
      </c>
      <c r="M91" s="126" t="str">
        <f aca="false">IF(IFERROR(INDEX(tsk_Name,(ROW()-ROW(MSPTasks[[#Headers],[ID]])))="",TRUE()),"",IF(N(INDEX(tsk_ActStart,(ROW()-ROW(MSPTasks[[#Headers],[ID]]))))=0,"",INDEX(tsk_ActStart,(ROW()-ROW(MSPTasks[[#Headers],[ID]])))))</f>
        <v/>
      </c>
      <c r="N91" s="126" t="str">
        <f aca="false">IF(IFERROR(INDEX(tsk_Name,(ROW()-ROW(MSPTasks[[#Headers],[ID]])))="",TRUE()),"",IF(N(INDEX(tsk_ActFinish,(ROW()-ROW(MSPTasks[[#Headers],[ID]]))))=0,"",INDEX(tsk_ActFinish,(ROW()-ROW(MSPTasks[[#Headers],[ID]])))))</f>
        <v/>
      </c>
      <c r="O91" s="126" t="str">
        <f aca="false">IF(IFERROR(INDEX(tsk_Name,(ROW()-ROW(MSPTasks[[#Headers],[ID]])))="",TRUE()),"",INDEX(tsk_PlanStart,(ROW()-ROW(MSPTasks[[#Headers],[ID]]))))</f>
        <v/>
      </c>
      <c r="P91" s="126"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1" s="126" t="str">
        <f aca="false">IF(IFERROR(INDEX(tsk_Name,(ROW()-ROW(MSPTasks[[#Headers],[ID]])))="",TRUE()),"",IF(OR(INDEX(tsk_IsSummary,(ROW()-ROW(MSPTasks[[#Headers],[ID]]))),INDEX(tsk_Mode,(ROW()-ROW(MSPTasks[[#Headers],[ID]])))="Manual"),"",IF(N(INDEX(tsk_ConstraintCode,(ROW()-ROW(MSPTasks[[#Headers],[ID]]))))&lt;2,"",INDEX(tsk_Constraint,(ROW()-ROW(MSPTasks[[#Headers],[ID]]))))))</f>
        <v/>
      </c>
      <c r="W91" s="126"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6" t="str">
        <f aca="false">IF(IFERROR(INDEX(tsk_Name,(ROW()-ROW(MSPTasks[[#Headers],[ID]])))="",TRUE()),"",INDEX(tsk_FcStart,(ROW()-ROW(MSPTasks[[#Headers],[ID]]))))</f>
        <v/>
      </c>
      <c r="H92" s="126"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IF(IFERROR(INDEX(tsk_Name,(ROW()-ROW(MSPTasks[[#Headers],[ID]])))="",TRUE()),"",INDEX(tsk_ResourceNames,(ROW()-ROW(MSPTasks[[#Headers],[ID]])))&amp;"")</f>
        <v/>
      </c>
      <c r="L92" s="24" t="str">
        <f aca="false">IF(IFERROR(INDEX(tsk_Name,(ROW()-ROW(MSPTasks[[#Headers],[ID]])))="",TRUE()),"",IF(INDEX(tsk_IsSummary,(ROW()-ROW(MSPTasks[[#Headers],[ID]]))),"",ROUND(INDEX(tsk_Progress,(ROW()-ROW(MSPTasks[[#Headers],[ID]])))*100,0)))</f>
        <v/>
      </c>
      <c r="M92" s="126" t="str">
        <f aca="false">IF(IFERROR(INDEX(tsk_Name,(ROW()-ROW(MSPTasks[[#Headers],[ID]])))="",TRUE()),"",IF(N(INDEX(tsk_ActStart,(ROW()-ROW(MSPTasks[[#Headers],[ID]]))))=0,"",INDEX(tsk_ActStart,(ROW()-ROW(MSPTasks[[#Headers],[ID]])))))</f>
        <v/>
      </c>
      <c r="N92" s="126" t="str">
        <f aca="false">IF(IFERROR(INDEX(tsk_Name,(ROW()-ROW(MSPTasks[[#Headers],[ID]])))="",TRUE()),"",IF(N(INDEX(tsk_ActFinish,(ROW()-ROW(MSPTasks[[#Headers],[ID]]))))=0,"",INDEX(tsk_ActFinish,(ROW()-ROW(MSPTasks[[#Headers],[ID]])))))</f>
        <v/>
      </c>
      <c r="O92" s="126" t="str">
        <f aca="false">IF(IFERROR(INDEX(tsk_Name,(ROW()-ROW(MSPTasks[[#Headers],[ID]])))="",TRUE()),"",INDEX(tsk_PlanStart,(ROW()-ROW(MSPTasks[[#Headers],[ID]]))))</f>
        <v/>
      </c>
      <c r="P92" s="126"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2" s="126" t="str">
        <f aca="false">IF(IFERROR(INDEX(tsk_Name,(ROW()-ROW(MSPTasks[[#Headers],[ID]])))="",TRUE()),"",IF(OR(INDEX(tsk_IsSummary,(ROW()-ROW(MSPTasks[[#Headers],[ID]]))),INDEX(tsk_Mode,(ROW()-ROW(MSPTasks[[#Headers],[ID]])))="Manual"),"",IF(N(INDEX(tsk_ConstraintCode,(ROW()-ROW(MSPTasks[[#Headers],[ID]]))))&lt;2,"",INDEX(tsk_Constraint,(ROW()-ROW(MSPTasks[[#Headers],[ID]]))))))</f>
        <v/>
      </c>
      <c r="W92" s="126"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6" t="str">
        <f aca="false">IF(IFERROR(INDEX(tsk_Name,(ROW()-ROW(MSPTasks[[#Headers],[ID]])))="",TRUE()),"",INDEX(tsk_FcStart,(ROW()-ROW(MSPTasks[[#Headers],[ID]]))))</f>
        <v/>
      </c>
      <c r="H93" s="126"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IF(IFERROR(INDEX(tsk_Name,(ROW()-ROW(MSPTasks[[#Headers],[ID]])))="",TRUE()),"",INDEX(tsk_ResourceNames,(ROW()-ROW(MSPTasks[[#Headers],[ID]])))&amp;"")</f>
        <v/>
      </c>
      <c r="L93" s="24" t="str">
        <f aca="false">IF(IFERROR(INDEX(tsk_Name,(ROW()-ROW(MSPTasks[[#Headers],[ID]])))="",TRUE()),"",IF(INDEX(tsk_IsSummary,(ROW()-ROW(MSPTasks[[#Headers],[ID]]))),"",ROUND(INDEX(tsk_Progress,(ROW()-ROW(MSPTasks[[#Headers],[ID]])))*100,0)))</f>
        <v/>
      </c>
      <c r="M93" s="126" t="str">
        <f aca="false">IF(IFERROR(INDEX(tsk_Name,(ROW()-ROW(MSPTasks[[#Headers],[ID]])))="",TRUE()),"",IF(N(INDEX(tsk_ActStart,(ROW()-ROW(MSPTasks[[#Headers],[ID]]))))=0,"",INDEX(tsk_ActStart,(ROW()-ROW(MSPTasks[[#Headers],[ID]])))))</f>
        <v/>
      </c>
      <c r="N93" s="126" t="str">
        <f aca="false">IF(IFERROR(INDEX(tsk_Name,(ROW()-ROW(MSPTasks[[#Headers],[ID]])))="",TRUE()),"",IF(N(INDEX(tsk_ActFinish,(ROW()-ROW(MSPTasks[[#Headers],[ID]]))))=0,"",INDEX(tsk_ActFinish,(ROW()-ROW(MSPTasks[[#Headers],[ID]])))))</f>
        <v/>
      </c>
      <c r="O93" s="126" t="str">
        <f aca="false">IF(IFERROR(INDEX(tsk_Name,(ROW()-ROW(MSPTasks[[#Headers],[ID]])))="",TRUE()),"",INDEX(tsk_PlanStart,(ROW()-ROW(MSPTasks[[#Headers],[ID]]))))</f>
        <v/>
      </c>
      <c r="P93" s="126"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3" s="126" t="str">
        <f aca="false">IF(IFERROR(INDEX(tsk_Name,(ROW()-ROW(MSPTasks[[#Headers],[ID]])))="",TRUE()),"",IF(OR(INDEX(tsk_IsSummary,(ROW()-ROW(MSPTasks[[#Headers],[ID]]))),INDEX(tsk_Mode,(ROW()-ROW(MSPTasks[[#Headers],[ID]])))="Manual"),"",IF(N(INDEX(tsk_ConstraintCode,(ROW()-ROW(MSPTasks[[#Headers],[ID]]))))&lt;2,"",INDEX(tsk_Constraint,(ROW()-ROW(MSPTasks[[#Headers],[ID]]))))))</f>
        <v/>
      </c>
      <c r="W93" s="126"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6" t="str">
        <f aca="false">IF(IFERROR(INDEX(tsk_Name,(ROW()-ROW(MSPTasks[[#Headers],[ID]])))="",TRUE()),"",INDEX(tsk_FcStart,(ROW()-ROW(MSPTasks[[#Headers],[ID]]))))</f>
        <v/>
      </c>
      <c r="H94" s="126"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IF(IFERROR(INDEX(tsk_Name,(ROW()-ROW(MSPTasks[[#Headers],[ID]])))="",TRUE()),"",INDEX(tsk_ResourceNames,(ROW()-ROW(MSPTasks[[#Headers],[ID]])))&amp;"")</f>
        <v/>
      </c>
      <c r="L94" s="24" t="str">
        <f aca="false">IF(IFERROR(INDEX(tsk_Name,(ROW()-ROW(MSPTasks[[#Headers],[ID]])))="",TRUE()),"",IF(INDEX(tsk_IsSummary,(ROW()-ROW(MSPTasks[[#Headers],[ID]]))),"",ROUND(INDEX(tsk_Progress,(ROW()-ROW(MSPTasks[[#Headers],[ID]])))*100,0)))</f>
        <v/>
      </c>
      <c r="M94" s="126" t="str">
        <f aca="false">IF(IFERROR(INDEX(tsk_Name,(ROW()-ROW(MSPTasks[[#Headers],[ID]])))="",TRUE()),"",IF(N(INDEX(tsk_ActStart,(ROW()-ROW(MSPTasks[[#Headers],[ID]]))))=0,"",INDEX(tsk_ActStart,(ROW()-ROW(MSPTasks[[#Headers],[ID]])))))</f>
        <v/>
      </c>
      <c r="N94" s="126" t="str">
        <f aca="false">IF(IFERROR(INDEX(tsk_Name,(ROW()-ROW(MSPTasks[[#Headers],[ID]])))="",TRUE()),"",IF(N(INDEX(tsk_ActFinish,(ROW()-ROW(MSPTasks[[#Headers],[ID]]))))=0,"",INDEX(tsk_ActFinish,(ROW()-ROW(MSPTasks[[#Headers],[ID]])))))</f>
        <v/>
      </c>
      <c r="O94" s="126" t="str">
        <f aca="false">IF(IFERROR(INDEX(tsk_Name,(ROW()-ROW(MSPTasks[[#Headers],[ID]])))="",TRUE()),"",INDEX(tsk_PlanStart,(ROW()-ROW(MSPTasks[[#Headers],[ID]]))))</f>
        <v/>
      </c>
      <c r="P94" s="126"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4" s="126" t="str">
        <f aca="false">IF(IFERROR(INDEX(tsk_Name,(ROW()-ROW(MSPTasks[[#Headers],[ID]])))="",TRUE()),"",IF(OR(INDEX(tsk_IsSummary,(ROW()-ROW(MSPTasks[[#Headers],[ID]]))),INDEX(tsk_Mode,(ROW()-ROW(MSPTasks[[#Headers],[ID]])))="Manual"),"",IF(N(INDEX(tsk_ConstraintCode,(ROW()-ROW(MSPTasks[[#Headers],[ID]]))))&lt;2,"",INDEX(tsk_Constraint,(ROW()-ROW(MSPTasks[[#Headers],[ID]]))))))</f>
        <v/>
      </c>
      <c r="W94" s="126"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6" t="str">
        <f aca="false">IF(IFERROR(INDEX(tsk_Name,(ROW()-ROW(MSPTasks[[#Headers],[ID]])))="",TRUE()),"",INDEX(tsk_FcStart,(ROW()-ROW(MSPTasks[[#Headers],[ID]]))))</f>
        <v/>
      </c>
      <c r="H95" s="126"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IF(IFERROR(INDEX(tsk_Name,(ROW()-ROW(MSPTasks[[#Headers],[ID]])))="",TRUE()),"",INDEX(tsk_ResourceNames,(ROW()-ROW(MSPTasks[[#Headers],[ID]])))&amp;"")</f>
        <v/>
      </c>
      <c r="L95" s="24" t="str">
        <f aca="false">IF(IFERROR(INDEX(tsk_Name,(ROW()-ROW(MSPTasks[[#Headers],[ID]])))="",TRUE()),"",IF(INDEX(tsk_IsSummary,(ROW()-ROW(MSPTasks[[#Headers],[ID]]))),"",ROUND(INDEX(tsk_Progress,(ROW()-ROW(MSPTasks[[#Headers],[ID]])))*100,0)))</f>
        <v/>
      </c>
      <c r="M95" s="126" t="str">
        <f aca="false">IF(IFERROR(INDEX(tsk_Name,(ROW()-ROW(MSPTasks[[#Headers],[ID]])))="",TRUE()),"",IF(N(INDEX(tsk_ActStart,(ROW()-ROW(MSPTasks[[#Headers],[ID]]))))=0,"",INDEX(tsk_ActStart,(ROW()-ROW(MSPTasks[[#Headers],[ID]])))))</f>
        <v/>
      </c>
      <c r="N95" s="126" t="str">
        <f aca="false">IF(IFERROR(INDEX(tsk_Name,(ROW()-ROW(MSPTasks[[#Headers],[ID]])))="",TRUE()),"",IF(N(INDEX(tsk_ActFinish,(ROW()-ROW(MSPTasks[[#Headers],[ID]]))))=0,"",INDEX(tsk_ActFinish,(ROW()-ROW(MSPTasks[[#Headers],[ID]])))))</f>
        <v/>
      </c>
      <c r="O95" s="126" t="str">
        <f aca="false">IF(IFERROR(INDEX(tsk_Name,(ROW()-ROW(MSPTasks[[#Headers],[ID]])))="",TRUE()),"",INDEX(tsk_PlanStart,(ROW()-ROW(MSPTasks[[#Headers],[ID]]))))</f>
        <v/>
      </c>
      <c r="P95" s="126"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5" s="126" t="str">
        <f aca="false">IF(IFERROR(INDEX(tsk_Name,(ROW()-ROW(MSPTasks[[#Headers],[ID]])))="",TRUE()),"",IF(OR(INDEX(tsk_IsSummary,(ROW()-ROW(MSPTasks[[#Headers],[ID]]))),INDEX(tsk_Mode,(ROW()-ROW(MSPTasks[[#Headers],[ID]])))="Manual"),"",IF(N(INDEX(tsk_ConstraintCode,(ROW()-ROW(MSPTasks[[#Headers],[ID]]))))&lt;2,"",INDEX(tsk_Constraint,(ROW()-ROW(MSPTasks[[#Headers],[ID]]))))))</f>
        <v/>
      </c>
      <c r="W95" s="126"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6" t="str">
        <f aca="false">IF(IFERROR(INDEX(tsk_Name,(ROW()-ROW(MSPTasks[[#Headers],[ID]])))="",TRUE()),"",INDEX(tsk_FcStart,(ROW()-ROW(MSPTasks[[#Headers],[ID]]))))</f>
        <v/>
      </c>
      <c r="H96" s="126"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IF(IFERROR(INDEX(tsk_Name,(ROW()-ROW(MSPTasks[[#Headers],[ID]])))="",TRUE()),"",INDEX(tsk_ResourceNames,(ROW()-ROW(MSPTasks[[#Headers],[ID]])))&amp;"")</f>
        <v/>
      </c>
      <c r="L96" s="24" t="str">
        <f aca="false">IF(IFERROR(INDEX(tsk_Name,(ROW()-ROW(MSPTasks[[#Headers],[ID]])))="",TRUE()),"",IF(INDEX(tsk_IsSummary,(ROW()-ROW(MSPTasks[[#Headers],[ID]]))),"",ROUND(INDEX(tsk_Progress,(ROW()-ROW(MSPTasks[[#Headers],[ID]])))*100,0)))</f>
        <v/>
      </c>
      <c r="M96" s="126" t="str">
        <f aca="false">IF(IFERROR(INDEX(tsk_Name,(ROW()-ROW(MSPTasks[[#Headers],[ID]])))="",TRUE()),"",IF(N(INDEX(tsk_ActStart,(ROW()-ROW(MSPTasks[[#Headers],[ID]]))))=0,"",INDEX(tsk_ActStart,(ROW()-ROW(MSPTasks[[#Headers],[ID]])))))</f>
        <v/>
      </c>
      <c r="N96" s="126" t="str">
        <f aca="false">IF(IFERROR(INDEX(tsk_Name,(ROW()-ROW(MSPTasks[[#Headers],[ID]])))="",TRUE()),"",IF(N(INDEX(tsk_ActFinish,(ROW()-ROW(MSPTasks[[#Headers],[ID]]))))=0,"",INDEX(tsk_ActFinish,(ROW()-ROW(MSPTasks[[#Headers],[ID]])))))</f>
        <v/>
      </c>
      <c r="O96" s="126" t="str">
        <f aca="false">IF(IFERROR(INDEX(tsk_Name,(ROW()-ROW(MSPTasks[[#Headers],[ID]])))="",TRUE()),"",INDEX(tsk_PlanStart,(ROW()-ROW(MSPTasks[[#Headers],[ID]]))))</f>
        <v/>
      </c>
      <c r="P96" s="126"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6" s="126" t="str">
        <f aca="false">IF(IFERROR(INDEX(tsk_Name,(ROW()-ROW(MSPTasks[[#Headers],[ID]])))="",TRUE()),"",IF(OR(INDEX(tsk_IsSummary,(ROW()-ROW(MSPTasks[[#Headers],[ID]]))),INDEX(tsk_Mode,(ROW()-ROW(MSPTasks[[#Headers],[ID]])))="Manual"),"",IF(N(INDEX(tsk_ConstraintCode,(ROW()-ROW(MSPTasks[[#Headers],[ID]]))))&lt;2,"",INDEX(tsk_Constraint,(ROW()-ROW(MSPTasks[[#Headers],[ID]]))))))</f>
        <v/>
      </c>
      <c r="W96" s="126"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6" t="str">
        <f aca="false">IF(IFERROR(INDEX(tsk_Name,(ROW()-ROW(MSPTasks[[#Headers],[ID]])))="",TRUE()),"",INDEX(tsk_FcStart,(ROW()-ROW(MSPTasks[[#Headers],[ID]]))))</f>
        <v/>
      </c>
      <c r="H97" s="126"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IF(IFERROR(INDEX(tsk_Name,(ROW()-ROW(MSPTasks[[#Headers],[ID]])))="",TRUE()),"",INDEX(tsk_ResourceNames,(ROW()-ROW(MSPTasks[[#Headers],[ID]])))&amp;"")</f>
        <v/>
      </c>
      <c r="L97" s="24" t="str">
        <f aca="false">IF(IFERROR(INDEX(tsk_Name,(ROW()-ROW(MSPTasks[[#Headers],[ID]])))="",TRUE()),"",IF(INDEX(tsk_IsSummary,(ROW()-ROW(MSPTasks[[#Headers],[ID]]))),"",ROUND(INDEX(tsk_Progress,(ROW()-ROW(MSPTasks[[#Headers],[ID]])))*100,0)))</f>
        <v/>
      </c>
      <c r="M97" s="126" t="str">
        <f aca="false">IF(IFERROR(INDEX(tsk_Name,(ROW()-ROW(MSPTasks[[#Headers],[ID]])))="",TRUE()),"",IF(N(INDEX(tsk_ActStart,(ROW()-ROW(MSPTasks[[#Headers],[ID]]))))=0,"",INDEX(tsk_ActStart,(ROW()-ROW(MSPTasks[[#Headers],[ID]])))))</f>
        <v/>
      </c>
      <c r="N97" s="126" t="str">
        <f aca="false">IF(IFERROR(INDEX(tsk_Name,(ROW()-ROW(MSPTasks[[#Headers],[ID]])))="",TRUE()),"",IF(N(INDEX(tsk_ActFinish,(ROW()-ROW(MSPTasks[[#Headers],[ID]]))))=0,"",INDEX(tsk_ActFinish,(ROW()-ROW(MSPTasks[[#Headers],[ID]])))))</f>
        <v/>
      </c>
      <c r="O97" s="126" t="str">
        <f aca="false">IF(IFERROR(INDEX(tsk_Name,(ROW()-ROW(MSPTasks[[#Headers],[ID]])))="",TRUE()),"",INDEX(tsk_PlanStart,(ROW()-ROW(MSPTasks[[#Headers],[ID]]))))</f>
        <v/>
      </c>
      <c r="P97" s="126"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7" s="126" t="str">
        <f aca="false">IF(IFERROR(INDEX(tsk_Name,(ROW()-ROW(MSPTasks[[#Headers],[ID]])))="",TRUE()),"",IF(OR(INDEX(tsk_IsSummary,(ROW()-ROW(MSPTasks[[#Headers],[ID]]))),INDEX(tsk_Mode,(ROW()-ROW(MSPTasks[[#Headers],[ID]])))="Manual"),"",IF(N(INDEX(tsk_ConstraintCode,(ROW()-ROW(MSPTasks[[#Headers],[ID]]))))&lt;2,"",INDEX(tsk_Constraint,(ROW()-ROW(MSPTasks[[#Headers],[ID]]))))))</f>
        <v/>
      </c>
      <c r="W97" s="126"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6" t="str">
        <f aca="false">IF(IFERROR(INDEX(tsk_Name,(ROW()-ROW(MSPTasks[[#Headers],[ID]])))="",TRUE()),"",INDEX(tsk_FcStart,(ROW()-ROW(MSPTasks[[#Headers],[ID]]))))</f>
        <v/>
      </c>
      <c r="H98" s="126"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IF(IFERROR(INDEX(tsk_Name,(ROW()-ROW(MSPTasks[[#Headers],[ID]])))="",TRUE()),"",INDEX(tsk_ResourceNames,(ROW()-ROW(MSPTasks[[#Headers],[ID]])))&amp;"")</f>
        <v/>
      </c>
      <c r="L98" s="24" t="str">
        <f aca="false">IF(IFERROR(INDEX(tsk_Name,(ROW()-ROW(MSPTasks[[#Headers],[ID]])))="",TRUE()),"",IF(INDEX(tsk_IsSummary,(ROW()-ROW(MSPTasks[[#Headers],[ID]]))),"",ROUND(INDEX(tsk_Progress,(ROW()-ROW(MSPTasks[[#Headers],[ID]])))*100,0)))</f>
        <v/>
      </c>
      <c r="M98" s="126" t="str">
        <f aca="false">IF(IFERROR(INDEX(tsk_Name,(ROW()-ROW(MSPTasks[[#Headers],[ID]])))="",TRUE()),"",IF(N(INDEX(tsk_ActStart,(ROW()-ROW(MSPTasks[[#Headers],[ID]]))))=0,"",INDEX(tsk_ActStart,(ROW()-ROW(MSPTasks[[#Headers],[ID]])))))</f>
        <v/>
      </c>
      <c r="N98" s="126" t="str">
        <f aca="false">IF(IFERROR(INDEX(tsk_Name,(ROW()-ROW(MSPTasks[[#Headers],[ID]])))="",TRUE()),"",IF(N(INDEX(tsk_ActFinish,(ROW()-ROW(MSPTasks[[#Headers],[ID]]))))=0,"",INDEX(tsk_ActFinish,(ROW()-ROW(MSPTasks[[#Headers],[ID]])))))</f>
        <v/>
      </c>
      <c r="O98" s="126" t="str">
        <f aca="false">IF(IFERROR(INDEX(tsk_Name,(ROW()-ROW(MSPTasks[[#Headers],[ID]])))="",TRUE()),"",INDEX(tsk_PlanStart,(ROW()-ROW(MSPTasks[[#Headers],[ID]]))))</f>
        <v/>
      </c>
      <c r="P98" s="126"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8" s="126" t="str">
        <f aca="false">IF(IFERROR(INDEX(tsk_Name,(ROW()-ROW(MSPTasks[[#Headers],[ID]])))="",TRUE()),"",IF(OR(INDEX(tsk_IsSummary,(ROW()-ROW(MSPTasks[[#Headers],[ID]]))),INDEX(tsk_Mode,(ROW()-ROW(MSPTasks[[#Headers],[ID]])))="Manual"),"",IF(N(INDEX(tsk_ConstraintCode,(ROW()-ROW(MSPTasks[[#Headers],[ID]]))))&lt;2,"",INDEX(tsk_Constraint,(ROW()-ROW(MSPTasks[[#Headers],[ID]]))))))</f>
        <v/>
      </c>
      <c r="W98" s="126"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6" t="str">
        <f aca="false">IF(IFERROR(INDEX(tsk_Name,(ROW()-ROW(MSPTasks[[#Headers],[ID]])))="",TRUE()),"",INDEX(tsk_FcStart,(ROW()-ROW(MSPTasks[[#Headers],[ID]]))))</f>
        <v/>
      </c>
      <c r="H99" s="126"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IF(IFERROR(INDEX(tsk_Name,(ROW()-ROW(MSPTasks[[#Headers],[ID]])))="",TRUE()),"",INDEX(tsk_ResourceNames,(ROW()-ROW(MSPTasks[[#Headers],[ID]])))&amp;"")</f>
        <v/>
      </c>
      <c r="L99" s="24" t="str">
        <f aca="false">IF(IFERROR(INDEX(tsk_Name,(ROW()-ROW(MSPTasks[[#Headers],[ID]])))="",TRUE()),"",IF(INDEX(tsk_IsSummary,(ROW()-ROW(MSPTasks[[#Headers],[ID]]))),"",ROUND(INDEX(tsk_Progress,(ROW()-ROW(MSPTasks[[#Headers],[ID]])))*100,0)))</f>
        <v/>
      </c>
      <c r="M99" s="126" t="str">
        <f aca="false">IF(IFERROR(INDEX(tsk_Name,(ROW()-ROW(MSPTasks[[#Headers],[ID]])))="",TRUE()),"",IF(N(INDEX(tsk_ActStart,(ROW()-ROW(MSPTasks[[#Headers],[ID]]))))=0,"",INDEX(tsk_ActStart,(ROW()-ROW(MSPTasks[[#Headers],[ID]])))))</f>
        <v/>
      </c>
      <c r="N99" s="126" t="str">
        <f aca="false">IF(IFERROR(INDEX(tsk_Name,(ROW()-ROW(MSPTasks[[#Headers],[ID]])))="",TRUE()),"",IF(N(INDEX(tsk_ActFinish,(ROW()-ROW(MSPTasks[[#Headers],[ID]]))))=0,"",INDEX(tsk_ActFinish,(ROW()-ROW(MSPTasks[[#Headers],[ID]])))))</f>
        <v/>
      </c>
      <c r="O99" s="126" t="str">
        <f aca="false">IF(IFERROR(INDEX(tsk_Name,(ROW()-ROW(MSPTasks[[#Headers],[ID]])))="",TRUE()),"",INDEX(tsk_PlanStart,(ROW()-ROW(MSPTasks[[#Headers],[ID]]))))</f>
        <v/>
      </c>
      <c r="P99" s="126"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9" s="126" t="str">
        <f aca="false">IF(IFERROR(INDEX(tsk_Name,(ROW()-ROW(MSPTasks[[#Headers],[ID]])))="",TRUE()),"",IF(OR(INDEX(tsk_IsSummary,(ROW()-ROW(MSPTasks[[#Headers],[ID]]))),INDEX(tsk_Mode,(ROW()-ROW(MSPTasks[[#Headers],[ID]])))="Manual"),"",IF(N(INDEX(tsk_ConstraintCode,(ROW()-ROW(MSPTasks[[#Headers],[ID]]))))&lt;2,"",INDEX(tsk_Constraint,(ROW()-ROW(MSPTasks[[#Headers],[ID]]))))))</f>
        <v/>
      </c>
      <c r="W99" s="126"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6" t="str">
        <f aca="false">IF(IFERROR(INDEX(tsk_Name,(ROW()-ROW(MSPTasks[[#Headers],[ID]])))="",TRUE()),"",INDEX(tsk_FcStart,(ROW()-ROW(MSPTasks[[#Headers],[ID]]))))</f>
        <v/>
      </c>
      <c r="H100" s="126"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IF(IFERROR(INDEX(tsk_Name,(ROW()-ROW(MSPTasks[[#Headers],[ID]])))="",TRUE()),"",INDEX(tsk_ResourceNames,(ROW()-ROW(MSPTasks[[#Headers],[ID]])))&amp;"")</f>
        <v/>
      </c>
      <c r="L100" s="24" t="str">
        <f aca="false">IF(IFERROR(INDEX(tsk_Name,(ROW()-ROW(MSPTasks[[#Headers],[ID]])))="",TRUE()),"",IF(INDEX(tsk_IsSummary,(ROW()-ROW(MSPTasks[[#Headers],[ID]]))),"",ROUND(INDEX(tsk_Progress,(ROW()-ROW(MSPTasks[[#Headers],[ID]])))*100,0)))</f>
        <v/>
      </c>
      <c r="M100" s="126" t="str">
        <f aca="false">IF(IFERROR(INDEX(tsk_Name,(ROW()-ROW(MSPTasks[[#Headers],[ID]])))="",TRUE()),"",IF(N(INDEX(tsk_ActStart,(ROW()-ROW(MSPTasks[[#Headers],[ID]]))))=0,"",INDEX(tsk_ActStart,(ROW()-ROW(MSPTasks[[#Headers],[ID]])))))</f>
        <v/>
      </c>
      <c r="N100" s="126" t="str">
        <f aca="false">IF(IFERROR(INDEX(tsk_Name,(ROW()-ROW(MSPTasks[[#Headers],[ID]])))="",TRUE()),"",IF(N(INDEX(tsk_ActFinish,(ROW()-ROW(MSPTasks[[#Headers],[ID]]))))=0,"",INDEX(tsk_ActFinish,(ROW()-ROW(MSPTasks[[#Headers],[ID]])))))</f>
        <v/>
      </c>
      <c r="O100" s="126" t="str">
        <f aca="false">IF(IFERROR(INDEX(tsk_Name,(ROW()-ROW(MSPTasks[[#Headers],[ID]])))="",TRUE()),"",INDEX(tsk_PlanStart,(ROW()-ROW(MSPTasks[[#Headers],[ID]]))))</f>
        <v/>
      </c>
      <c r="P100" s="126"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0" s="126" t="str">
        <f aca="false">IF(IFERROR(INDEX(tsk_Name,(ROW()-ROW(MSPTasks[[#Headers],[ID]])))="",TRUE()),"",IF(OR(INDEX(tsk_IsSummary,(ROW()-ROW(MSPTasks[[#Headers],[ID]]))),INDEX(tsk_Mode,(ROW()-ROW(MSPTasks[[#Headers],[ID]])))="Manual"),"",IF(N(INDEX(tsk_ConstraintCode,(ROW()-ROW(MSPTasks[[#Headers],[ID]]))))&lt;2,"",INDEX(tsk_Constraint,(ROW()-ROW(MSPTasks[[#Headers],[ID]]))))))</f>
        <v/>
      </c>
      <c r="W100" s="126"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6" t="str">
        <f aca="false">IF(IFERROR(INDEX(tsk_Name,(ROW()-ROW(MSPTasks[[#Headers],[ID]])))="",TRUE()),"",INDEX(tsk_FcStart,(ROW()-ROW(MSPTasks[[#Headers],[ID]]))))</f>
        <v/>
      </c>
      <c r="H101" s="126"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IF(IFERROR(INDEX(tsk_Name,(ROW()-ROW(MSPTasks[[#Headers],[ID]])))="",TRUE()),"",INDEX(tsk_ResourceNames,(ROW()-ROW(MSPTasks[[#Headers],[ID]])))&amp;"")</f>
        <v/>
      </c>
      <c r="L101" s="24" t="str">
        <f aca="false">IF(IFERROR(INDEX(tsk_Name,(ROW()-ROW(MSPTasks[[#Headers],[ID]])))="",TRUE()),"",IF(INDEX(tsk_IsSummary,(ROW()-ROW(MSPTasks[[#Headers],[ID]]))),"",ROUND(INDEX(tsk_Progress,(ROW()-ROW(MSPTasks[[#Headers],[ID]])))*100,0)))</f>
        <v/>
      </c>
      <c r="M101" s="126" t="str">
        <f aca="false">IF(IFERROR(INDEX(tsk_Name,(ROW()-ROW(MSPTasks[[#Headers],[ID]])))="",TRUE()),"",IF(N(INDEX(tsk_ActStart,(ROW()-ROW(MSPTasks[[#Headers],[ID]]))))=0,"",INDEX(tsk_ActStart,(ROW()-ROW(MSPTasks[[#Headers],[ID]])))))</f>
        <v/>
      </c>
      <c r="N101" s="126" t="str">
        <f aca="false">IF(IFERROR(INDEX(tsk_Name,(ROW()-ROW(MSPTasks[[#Headers],[ID]])))="",TRUE()),"",IF(N(INDEX(tsk_ActFinish,(ROW()-ROW(MSPTasks[[#Headers],[ID]]))))=0,"",INDEX(tsk_ActFinish,(ROW()-ROW(MSPTasks[[#Headers],[ID]])))))</f>
        <v/>
      </c>
      <c r="O101" s="126" t="str">
        <f aca="false">IF(IFERROR(INDEX(tsk_Name,(ROW()-ROW(MSPTasks[[#Headers],[ID]])))="",TRUE()),"",INDEX(tsk_PlanStart,(ROW()-ROW(MSPTasks[[#Headers],[ID]]))))</f>
        <v/>
      </c>
      <c r="P101" s="126"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1" s="126" t="str">
        <f aca="false">IF(IFERROR(INDEX(tsk_Name,(ROW()-ROW(MSPTasks[[#Headers],[ID]])))="",TRUE()),"",IF(OR(INDEX(tsk_IsSummary,(ROW()-ROW(MSPTasks[[#Headers],[ID]]))),INDEX(tsk_Mode,(ROW()-ROW(MSPTasks[[#Headers],[ID]])))="Manual"),"",IF(N(INDEX(tsk_ConstraintCode,(ROW()-ROW(MSPTasks[[#Headers],[ID]]))))&lt;2,"",INDEX(tsk_Constraint,(ROW()-ROW(MSPTasks[[#Headers],[ID]]))))))</f>
        <v/>
      </c>
      <c r="W101" s="126"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6" t="str">
        <f aca="false">IF(IFERROR(INDEX(tsk_Name,(ROW()-ROW(MSPTasks[[#Headers],[ID]])))="",TRUE()),"",INDEX(tsk_FcStart,(ROW()-ROW(MSPTasks[[#Headers],[ID]]))))</f>
        <v/>
      </c>
      <c r="H102" s="126"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IF(IFERROR(INDEX(tsk_Name,(ROW()-ROW(MSPTasks[[#Headers],[ID]])))="",TRUE()),"",INDEX(tsk_ResourceNames,(ROW()-ROW(MSPTasks[[#Headers],[ID]])))&amp;"")</f>
        <v/>
      </c>
      <c r="L102" s="24" t="str">
        <f aca="false">IF(IFERROR(INDEX(tsk_Name,(ROW()-ROW(MSPTasks[[#Headers],[ID]])))="",TRUE()),"",IF(INDEX(tsk_IsSummary,(ROW()-ROW(MSPTasks[[#Headers],[ID]]))),"",ROUND(INDEX(tsk_Progress,(ROW()-ROW(MSPTasks[[#Headers],[ID]])))*100,0)))</f>
        <v/>
      </c>
      <c r="M102" s="126" t="str">
        <f aca="false">IF(IFERROR(INDEX(tsk_Name,(ROW()-ROW(MSPTasks[[#Headers],[ID]])))="",TRUE()),"",IF(N(INDEX(tsk_ActStart,(ROW()-ROW(MSPTasks[[#Headers],[ID]]))))=0,"",INDEX(tsk_ActStart,(ROW()-ROW(MSPTasks[[#Headers],[ID]])))))</f>
        <v/>
      </c>
      <c r="N102" s="126" t="str">
        <f aca="false">IF(IFERROR(INDEX(tsk_Name,(ROW()-ROW(MSPTasks[[#Headers],[ID]])))="",TRUE()),"",IF(N(INDEX(tsk_ActFinish,(ROW()-ROW(MSPTasks[[#Headers],[ID]]))))=0,"",INDEX(tsk_ActFinish,(ROW()-ROW(MSPTasks[[#Headers],[ID]])))))</f>
        <v/>
      </c>
      <c r="O102" s="126" t="str">
        <f aca="false">IF(IFERROR(INDEX(tsk_Name,(ROW()-ROW(MSPTasks[[#Headers],[ID]])))="",TRUE()),"",INDEX(tsk_PlanStart,(ROW()-ROW(MSPTasks[[#Headers],[ID]]))))</f>
        <v/>
      </c>
      <c r="P102" s="126"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2" s="126" t="str">
        <f aca="false">IF(IFERROR(INDEX(tsk_Name,(ROW()-ROW(MSPTasks[[#Headers],[ID]])))="",TRUE()),"",IF(OR(INDEX(tsk_IsSummary,(ROW()-ROW(MSPTasks[[#Headers],[ID]]))),INDEX(tsk_Mode,(ROW()-ROW(MSPTasks[[#Headers],[ID]])))="Manual"),"",IF(N(INDEX(tsk_ConstraintCode,(ROW()-ROW(MSPTasks[[#Headers],[ID]]))))&lt;2,"",INDEX(tsk_Constraint,(ROW()-ROW(MSPTasks[[#Headers],[ID]]))))))</f>
        <v/>
      </c>
      <c r="W102" s="126"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6" t="str">
        <f aca="false">IF(IFERROR(INDEX(tsk_Name,(ROW()-ROW(MSPTasks[[#Headers],[ID]])))="",TRUE()),"",INDEX(tsk_FcStart,(ROW()-ROW(MSPTasks[[#Headers],[ID]]))))</f>
        <v/>
      </c>
      <c r="H103" s="126"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IF(IFERROR(INDEX(tsk_Name,(ROW()-ROW(MSPTasks[[#Headers],[ID]])))="",TRUE()),"",INDEX(tsk_ResourceNames,(ROW()-ROW(MSPTasks[[#Headers],[ID]])))&amp;"")</f>
        <v/>
      </c>
      <c r="L103" s="24" t="str">
        <f aca="false">IF(IFERROR(INDEX(tsk_Name,(ROW()-ROW(MSPTasks[[#Headers],[ID]])))="",TRUE()),"",IF(INDEX(tsk_IsSummary,(ROW()-ROW(MSPTasks[[#Headers],[ID]]))),"",ROUND(INDEX(tsk_Progress,(ROW()-ROW(MSPTasks[[#Headers],[ID]])))*100,0)))</f>
        <v/>
      </c>
      <c r="M103" s="126" t="str">
        <f aca="false">IF(IFERROR(INDEX(tsk_Name,(ROW()-ROW(MSPTasks[[#Headers],[ID]])))="",TRUE()),"",IF(N(INDEX(tsk_ActStart,(ROW()-ROW(MSPTasks[[#Headers],[ID]]))))=0,"",INDEX(tsk_ActStart,(ROW()-ROW(MSPTasks[[#Headers],[ID]])))))</f>
        <v/>
      </c>
      <c r="N103" s="126" t="str">
        <f aca="false">IF(IFERROR(INDEX(tsk_Name,(ROW()-ROW(MSPTasks[[#Headers],[ID]])))="",TRUE()),"",IF(N(INDEX(tsk_ActFinish,(ROW()-ROW(MSPTasks[[#Headers],[ID]]))))=0,"",INDEX(tsk_ActFinish,(ROW()-ROW(MSPTasks[[#Headers],[ID]])))))</f>
        <v/>
      </c>
      <c r="O103" s="126" t="str">
        <f aca="false">IF(IFERROR(INDEX(tsk_Name,(ROW()-ROW(MSPTasks[[#Headers],[ID]])))="",TRUE()),"",INDEX(tsk_PlanStart,(ROW()-ROW(MSPTasks[[#Headers],[ID]]))))</f>
        <v/>
      </c>
      <c r="P103" s="126"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3" s="126" t="str">
        <f aca="false">IF(IFERROR(INDEX(tsk_Name,(ROW()-ROW(MSPTasks[[#Headers],[ID]])))="",TRUE()),"",IF(OR(INDEX(tsk_IsSummary,(ROW()-ROW(MSPTasks[[#Headers],[ID]]))),INDEX(tsk_Mode,(ROW()-ROW(MSPTasks[[#Headers],[ID]])))="Manual"),"",IF(N(INDEX(tsk_ConstraintCode,(ROW()-ROW(MSPTasks[[#Headers],[ID]]))))&lt;2,"",INDEX(tsk_Constraint,(ROW()-ROW(MSPTasks[[#Headers],[ID]]))))))</f>
        <v/>
      </c>
      <c r="W103" s="126"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6" t="str">
        <f aca="false">IF(IFERROR(INDEX(tsk_Name,(ROW()-ROW(MSPTasks[[#Headers],[ID]])))="",TRUE()),"",INDEX(tsk_FcStart,(ROW()-ROW(MSPTasks[[#Headers],[ID]]))))</f>
        <v/>
      </c>
      <c r="H104" s="126"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IF(IFERROR(INDEX(tsk_Name,(ROW()-ROW(MSPTasks[[#Headers],[ID]])))="",TRUE()),"",INDEX(tsk_ResourceNames,(ROW()-ROW(MSPTasks[[#Headers],[ID]])))&amp;"")</f>
        <v/>
      </c>
      <c r="L104" s="24" t="str">
        <f aca="false">IF(IFERROR(INDEX(tsk_Name,(ROW()-ROW(MSPTasks[[#Headers],[ID]])))="",TRUE()),"",IF(INDEX(tsk_IsSummary,(ROW()-ROW(MSPTasks[[#Headers],[ID]]))),"",ROUND(INDEX(tsk_Progress,(ROW()-ROW(MSPTasks[[#Headers],[ID]])))*100,0)))</f>
        <v/>
      </c>
      <c r="M104" s="126" t="str">
        <f aca="false">IF(IFERROR(INDEX(tsk_Name,(ROW()-ROW(MSPTasks[[#Headers],[ID]])))="",TRUE()),"",IF(N(INDEX(tsk_ActStart,(ROW()-ROW(MSPTasks[[#Headers],[ID]]))))=0,"",INDEX(tsk_ActStart,(ROW()-ROW(MSPTasks[[#Headers],[ID]])))))</f>
        <v/>
      </c>
      <c r="N104" s="126" t="str">
        <f aca="false">IF(IFERROR(INDEX(tsk_Name,(ROW()-ROW(MSPTasks[[#Headers],[ID]])))="",TRUE()),"",IF(N(INDEX(tsk_ActFinish,(ROW()-ROW(MSPTasks[[#Headers],[ID]]))))=0,"",INDEX(tsk_ActFinish,(ROW()-ROW(MSPTasks[[#Headers],[ID]])))))</f>
        <v/>
      </c>
      <c r="O104" s="126" t="str">
        <f aca="false">IF(IFERROR(INDEX(tsk_Name,(ROW()-ROW(MSPTasks[[#Headers],[ID]])))="",TRUE()),"",INDEX(tsk_PlanStart,(ROW()-ROW(MSPTasks[[#Headers],[ID]]))))</f>
        <v/>
      </c>
      <c r="P104" s="126"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4" s="126" t="str">
        <f aca="false">IF(IFERROR(INDEX(tsk_Name,(ROW()-ROW(MSPTasks[[#Headers],[ID]])))="",TRUE()),"",IF(OR(INDEX(tsk_IsSummary,(ROW()-ROW(MSPTasks[[#Headers],[ID]]))),INDEX(tsk_Mode,(ROW()-ROW(MSPTasks[[#Headers],[ID]])))="Manual"),"",IF(N(INDEX(tsk_ConstraintCode,(ROW()-ROW(MSPTasks[[#Headers],[ID]]))))&lt;2,"",INDEX(tsk_Constraint,(ROW()-ROW(MSPTasks[[#Headers],[ID]]))))))</f>
        <v/>
      </c>
      <c r="W104" s="126"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6" t="str">
        <f aca="false">IF(IFERROR(INDEX(tsk_Name,(ROW()-ROW(MSPTasks[[#Headers],[ID]])))="",TRUE()),"",INDEX(tsk_FcStart,(ROW()-ROW(MSPTasks[[#Headers],[ID]]))))</f>
        <v/>
      </c>
      <c r="H105" s="126"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IF(IFERROR(INDEX(tsk_Name,(ROW()-ROW(MSPTasks[[#Headers],[ID]])))="",TRUE()),"",INDEX(tsk_ResourceNames,(ROW()-ROW(MSPTasks[[#Headers],[ID]])))&amp;"")</f>
        <v/>
      </c>
      <c r="L105" s="24" t="str">
        <f aca="false">IF(IFERROR(INDEX(tsk_Name,(ROW()-ROW(MSPTasks[[#Headers],[ID]])))="",TRUE()),"",IF(INDEX(tsk_IsSummary,(ROW()-ROW(MSPTasks[[#Headers],[ID]]))),"",ROUND(INDEX(tsk_Progress,(ROW()-ROW(MSPTasks[[#Headers],[ID]])))*100,0)))</f>
        <v/>
      </c>
      <c r="M105" s="126" t="str">
        <f aca="false">IF(IFERROR(INDEX(tsk_Name,(ROW()-ROW(MSPTasks[[#Headers],[ID]])))="",TRUE()),"",IF(N(INDEX(tsk_ActStart,(ROW()-ROW(MSPTasks[[#Headers],[ID]]))))=0,"",INDEX(tsk_ActStart,(ROW()-ROW(MSPTasks[[#Headers],[ID]])))))</f>
        <v/>
      </c>
      <c r="N105" s="126" t="str">
        <f aca="false">IF(IFERROR(INDEX(tsk_Name,(ROW()-ROW(MSPTasks[[#Headers],[ID]])))="",TRUE()),"",IF(N(INDEX(tsk_ActFinish,(ROW()-ROW(MSPTasks[[#Headers],[ID]]))))=0,"",INDEX(tsk_ActFinish,(ROW()-ROW(MSPTasks[[#Headers],[ID]])))))</f>
        <v/>
      </c>
      <c r="O105" s="126" t="str">
        <f aca="false">IF(IFERROR(INDEX(tsk_Name,(ROW()-ROW(MSPTasks[[#Headers],[ID]])))="",TRUE()),"",INDEX(tsk_PlanStart,(ROW()-ROW(MSPTasks[[#Headers],[ID]]))))</f>
        <v/>
      </c>
      <c r="P105" s="126"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5" s="126" t="str">
        <f aca="false">IF(IFERROR(INDEX(tsk_Name,(ROW()-ROW(MSPTasks[[#Headers],[ID]])))="",TRUE()),"",IF(OR(INDEX(tsk_IsSummary,(ROW()-ROW(MSPTasks[[#Headers],[ID]]))),INDEX(tsk_Mode,(ROW()-ROW(MSPTasks[[#Headers],[ID]])))="Manual"),"",IF(N(INDEX(tsk_ConstraintCode,(ROW()-ROW(MSPTasks[[#Headers],[ID]]))))&lt;2,"",INDEX(tsk_Constraint,(ROW()-ROW(MSPTasks[[#Headers],[ID]]))))))</f>
        <v/>
      </c>
      <c r="W105" s="126"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6" t="str">
        <f aca="false">IF(IFERROR(INDEX(tsk_Name,(ROW()-ROW(MSPTasks[[#Headers],[ID]])))="",TRUE()),"",INDEX(tsk_FcStart,(ROW()-ROW(MSPTasks[[#Headers],[ID]]))))</f>
        <v/>
      </c>
      <c r="H106" s="126"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IF(IFERROR(INDEX(tsk_Name,(ROW()-ROW(MSPTasks[[#Headers],[ID]])))="",TRUE()),"",INDEX(tsk_ResourceNames,(ROW()-ROW(MSPTasks[[#Headers],[ID]])))&amp;"")</f>
        <v/>
      </c>
      <c r="L106" s="24" t="str">
        <f aca="false">IF(IFERROR(INDEX(tsk_Name,(ROW()-ROW(MSPTasks[[#Headers],[ID]])))="",TRUE()),"",IF(INDEX(tsk_IsSummary,(ROW()-ROW(MSPTasks[[#Headers],[ID]]))),"",ROUND(INDEX(tsk_Progress,(ROW()-ROW(MSPTasks[[#Headers],[ID]])))*100,0)))</f>
        <v/>
      </c>
      <c r="M106" s="126" t="str">
        <f aca="false">IF(IFERROR(INDEX(tsk_Name,(ROW()-ROW(MSPTasks[[#Headers],[ID]])))="",TRUE()),"",IF(N(INDEX(tsk_ActStart,(ROW()-ROW(MSPTasks[[#Headers],[ID]]))))=0,"",INDEX(tsk_ActStart,(ROW()-ROW(MSPTasks[[#Headers],[ID]])))))</f>
        <v/>
      </c>
      <c r="N106" s="126" t="str">
        <f aca="false">IF(IFERROR(INDEX(tsk_Name,(ROW()-ROW(MSPTasks[[#Headers],[ID]])))="",TRUE()),"",IF(N(INDEX(tsk_ActFinish,(ROW()-ROW(MSPTasks[[#Headers],[ID]]))))=0,"",INDEX(tsk_ActFinish,(ROW()-ROW(MSPTasks[[#Headers],[ID]])))))</f>
        <v/>
      </c>
      <c r="O106" s="126" t="str">
        <f aca="false">IF(IFERROR(INDEX(tsk_Name,(ROW()-ROW(MSPTasks[[#Headers],[ID]])))="",TRUE()),"",INDEX(tsk_PlanStart,(ROW()-ROW(MSPTasks[[#Headers],[ID]]))))</f>
        <v/>
      </c>
      <c r="P106" s="126"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6" s="126" t="str">
        <f aca="false">IF(IFERROR(INDEX(tsk_Name,(ROW()-ROW(MSPTasks[[#Headers],[ID]])))="",TRUE()),"",IF(OR(INDEX(tsk_IsSummary,(ROW()-ROW(MSPTasks[[#Headers],[ID]]))),INDEX(tsk_Mode,(ROW()-ROW(MSPTasks[[#Headers],[ID]])))="Manual"),"",IF(N(INDEX(tsk_ConstraintCode,(ROW()-ROW(MSPTasks[[#Headers],[ID]]))))&lt;2,"",INDEX(tsk_Constraint,(ROW()-ROW(MSPTasks[[#Headers],[ID]]))))))</f>
        <v/>
      </c>
      <c r="W106" s="126"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6" t="str">
        <f aca="false">IF(IFERROR(INDEX(tsk_Name,(ROW()-ROW(MSPTasks[[#Headers],[ID]])))="",TRUE()),"",INDEX(tsk_FcStart,(ROW()-ROW(MSPTasks[[#Headers],[ID]]))))</f>
        <v/>
      </c>
      <c r="H107" s="126"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IF(IFERROR(INDEX(tsk_Name,(ROW()-ROW(MSPTasks[[#Headers],[ID]])))="",TRUE()),"",INDEX(tsk_ResourceNames,(ROW()-ROW(MSPTasks[[#Headers],[ID]])))&amp;"")</f>
        <v/>
      </c>
      <c r="L107" s="24" t="str">
        <f aca="false">IF(IFERROR(INDEX(tsk_Name,(ROW()-ROW(MSPTasks[[#Headers],[ID]])))="",TRUE()),"",IF(INDEX(tsk_IsSummary,(ROW()-ROW(MSPTasks[[#Headers],[ID]]))),"",ROUND(INDEX(tsk_Progress,(ROW()-ROW(MSPTasks[[#Headers],[ID]])))*100,0)))</f>
        <v/>
      </c>
      <c r="M107" s="126" t="str">
        <f aca="false">IF(IFERROR(INDEX(tsk_Name,(ROW()-ROW(MSPTasks[[#Headers],[ID]])))="",TRUE()),"",IF(N(INDEX(tsk_ActStart,(ROW()-ROW(MSPTasks[[#Headers],[ID]]))))=0,"",INDEX(tsk_ActStart,(ROW()-ROW(MSPTasks[[#Headers],[ID]])))))</f>
        <v/>
      </c>
      <c r="N107" s="126" t="str">
        <f aca="false">IF(IFERROR(INDEX(tsk_Name,(ROW()-ROW(MSPTasks[[#Headers],[ID]])))="",TRUE()),"",IF(N(INDEX(tsk_ActFinish,(ROW()-ROW(MSPTasks[[#Headers],[ID]]))))=0,"",INDEX(tsk_ActFinish,(ROW()-ROW(MSPTasks[[#Headers],[ID]])))))</f>
        <v/>
      </c>
      <c r="O107" s="126" t="str">
        <f aca="false">IF(IFERROR(INDEX(tsk_Name,(ROW()-ROW(MSPTasks[[#Headers],[ID]])))="",TRUE()),"",INDEX(tsk_PlanStart,(ROW()-ROW(MSPTasks[[#Headers],[ID]]))))</f>
        <v/>
      </c>
      <c r="P107" s="126"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7" s="126" t="str">
        <f aca="false">IF(IFERROR(INDEX(tsk_Name,(ROW()-ROW(MSPTasks[[#Headers],[ID]])))="",TRUE()),"",IF(OR(INDEX(tsk_IsSummary,(ROW()-ROW(MSPTasks[[#Headers],[ID]]))),INDEX(tsk_Mode,(ROW()-ROW(MSPTasks[[#Headers],[ID]])))="Manual"),"",IF(N(INDEX(tsk_ConstraintCode,(ROW()-ROW(MSPTasks[[#Headers],[ID]]))))&lt;2,"",INDEX(tsk_Constraint,(ROW()-ROW(MSPTasks[[#Headers],[ID]]))))))</f>
        <v/>
      </c>
      <c r="W107" s="126"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6" t="str">
        <f aca="false">IF(IFERROR(INDEX(tsk_Name,(ROW()-ROW(MSPTasks[[#Headers],[ID]])))="",TRUE()),"",INDEX(tsk_FcStart,(ROW()-ROW(MSPTasks[[#Headers],[ID]]))))</f>
        <v/>
      </c>
      <c r="H108" s="126"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IF(IFERROR(INDEX(tsk_Name,(ROW()-ROW(MSPTasks[[#Headers],[ID]])))="",TRUE()),"",INDEX(tsk_ResourceNames,(ROW()-ROW(MSPTasks[[#Headers],[ID]])))&amp;"")</f>
        <v/>
      </c>
      <c r="L108" s="24" t="str">
        <f aca="false">IF(IFERROR(INDEX(tsk_Name,(ROW()-ROW(MSPTasks[[#Headers],[ID]])))="",TRUE()),"",IF(INDEX(tsk_IsSummary,(ROW()-ROW(MSPTasks[[#Headers],[ID]]))),"",ROUND(INDEX(tsk_Progress,(ROW()-ROW(MSPTasks[[#Headers],[ID]])))*100,0)))</f>
        <v/>
      </c>
      <c r="M108" s="126" t="str">
        <f aca="false">IF(IFERROR(INDEX(tsk_Name,(ROW()-ROW(MSPTasks[[#Headers],[ID]])))="",TRUE()),"",IF(N(INDEX(tsk_ActStart,(ROW()-ROW(MSPTasks[[#Headers],[ID]]))))=0,"",INDEX(tsk_ActStart,(ROW()-ROW(MSPTasks[[#Headers],[ID]])))))</f>
        <v/>
      </c>
      <c r="N108" s="126" t="str">
        <f aca="false">IF(IFERROR(INDEX(tsk_Name,(ROW()-ROW(MSPTasks[[#Headers],[ID]])))="",TRUE()),"",IF(N(INDEX(tsk_ActFinish,(ROW()-ROW(MSPTasks[[#Headers],[ID]]))))=0,"",INDEX(tsk_ActFinish,(ROW()-ROW(MSPTasks[[#Headers],[ID]])))))</f>
        <v/>
      </c>
      <c r="O108" s="126" t="str">
        <f aca="false">IF(IFERROR(INDEX(tsk_Name,(ROW()-ROW(MSPTasks[[#Headers],[ID]])))="",TRUE()),"",INDEX(tsk_PlanStart,(ROW()-ROW(MSPTasks[[#Headers],[ID]]))))</f>
        <v/>
      </c>
      <c r="P108" s="126"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8" s="126" t="str">
        <f aca="false">IF(IFERROR(INDEX(tsk_Name,(ROW()-ROW(MSPTasks[[#Headers],[ID]])))="",TRUE()),"",IF(OR(INDEX(tsk_IsSummary,(ROW()-ROW(MSPTasks[[#Headers],[ID]]))),INDEX(tsk_Mode,(ROW()-ROW(MSPTasks[[#Headers],[ID]])))="Manual"),"",IF(N(INDEX(tsk_ConstraintCode,(ROW()-ROW(MSPTasks[[#Headers],[ID]]))))&lt;2,"",INDEX(tsk_Constraint,(ROW()-ROW(MSPTasks[[#Headers],[ID]]))))))</f>
        <v/>
      </c>
      <c r="W108" s="126"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6" t="str">
        <f aca="false">IF(IFERROR(INDEX(tsk_Name,(ROW()-ROW(MSPTasks[[#Headers],[ID]])))="",TRUE()),"",INDEX(tsk_FcStart,(ROW()-ROW(MSPTasks[[#Headers],[ID]]))))</f>
        <v/>
      </c>
      <c r="H109" s="126"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IF(IFERROR(INDEX(tsk_Name,(ROW()-ROW(MSPTasks[[#Headers],[ID]])))="",TRUE()),"",INDEX(tsk_ResourceNames,(ROW()-ROW(MSPTasks[[#Headers],[ID]])))&amp;"")</f>
        <v/>
      </c>
      <c r="L109" s="24" t="str">
        <f aca="false">IF(IFERROR(INDEX(tsk_Name,(ROW()-ROW(MSPTasks[[#Headers],[ID]])))="",TRUE()),"",IF(INDEX(tsk_IsSummary,(ROW()-ROW(MSPTasks[[#Headers],[ID]]))),"",ROUND(INDEX(tsk_Progress,(ROW()-ROW(MSPTasks[[#Headers],[ID]])))*100,0)))</f>
        <v/>
      </c>
      <c r="M109" s="126" t="str">
        <f aca="false">IF(IFERROR(INDEX(tsk_Name,(ROW()-ROW(MSPTasks[[#Headers],[ID]])))="",TRUE()),"",IF(N(INDEX(tsk_ActStart,(ROW()-ROW(MSPTasks[[#Headers],[ID]]))))=0,"",INDEX(tsk_ActStart,(ROW()-ROW(MSPTasks[[#Headers],[ID]])))))</f>
        <v/>
      </c>
      <c r="N109" s="126" t="str">
        <f aca="false">IF(IFERROR(INDEX(tsk_Name,(ROW()-ROW(MSPTasks[[#Headers],[ID]])))="",TRUE()),"",IF(N(INDEX(tsk_ActFinish,(ROW()-ROW(MSPTasks[[#Headers],[ID]]))))=0,"",INDEX(tsk_ActFinish,(ROW()-ROW(MSPTasks[[#Headers],[ID]])))))</f>
        <v/>
      </c>
      <c r="O109" s="126" t="str">
        <f aca="false">IF(IFERROR(INDEX(tsk_Name,(ROW()-ROW(MSPTasks[[#Headers],[ID]])))="",TRUE()),"",INDEX(tsk_PlanStart,(ROW()-ROW(MSPTasks[[#Headers],[ID]]))))</f>
        <v/>
      </c>
      <c r="P109" s="126"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9" s="126" t="str">
        <f aca="false">IF(IFERROR(INDEX(tsk_Name,(ROW()-ROW(MSPTasks[[#Headers],[ID]])))="",TRUE()),"",IF(OR(INDEX(tsk_IsSummary,(ROW()-ROW(MSPTasks[[#Headers],[ID]]))),INDEX(tsk_Mode,(ROW()-ROW(MSPTasks[[#Headers],[ID]])))="Manual"),"",IF(N(INDEX(tsk_ConstraintCode,(ROW()-ROW(MSPTasks[[#Headers],[ID]]))))&lt;2,"",INDEX(tsk_Constraint,(ROW()-ROW(MSPTasks[[#Headers],[ID]]))))))</f>
        <v/>
      </c>
      <c r="W109" s="126"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6" t="str">
        <f aca="false">IF(IFERROR(INDEX(tsk_Name,(ROW()-ROW(MSPTasks[[#Headers],[ID]])))="",TRUE()),"",INDEX(tsk_FcStart,(ROW()-ROW(MSPTasks[[#Headers],[ID]]))))</f>
        <v/>
      </c>
      <c r="H110" s="126"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IF(IFERROR(INDEX(tsk_Name,(ROW()-ROW(MSPTasks[[#Headers],[ID]])))="",TRUE()),"",INDEX(tsk_ResourceNames,(ROW()-ROW(MSPTasks[[#Headers],[ID]])))&amp;"")</f>
        <v/>
      </c>
      <c r="L110" s="24" t="str">
        <f aca="false">IF(IFERROR(INDEX(tsk_Name,(ROW()-ROW(MSPTasks[[#Headers],[ID]])))="",TRUE()),"",IF(INDEX(tsk_IsSummary,(ROW()-ROW(MSPTasks[[#Headers],[ID]]))),"",ROUND(INDEX(tsk_Progress,(ROW()-ROW(MSPTasks[[#Headers],[ID]])))*100,0)))</f>
        <v/>
      </c>
      <c r="M110" s="126" t="str">
        <f aca="false">IF(IFERROR(INDEX(tsk_Name,(ROW()-ROW(MSPTasks[[#Headers],[ID]])))="",TRUE()),"",IF(N(INDEX(tsk_ActStart,(ROW()-ROW(MSPTasks[[#Headers],[ID]]))))=0,"",INDEX(tsk_ActStart,(ROW()-ROW(MSPTasks[[#Headers],[ID]])))))</f>
        <v/>
      </c>
      <c r="N110" s="126" t="str">
        <f aca="false">IF(IFERROR(INDEX(tsk_Name,(ROW()-ROW(MSPTasks[[#Headers],[ID]])))="",TRUE()),"",IF(N(INDEX(tsk_ActFinish,(ROW()-ROW(MSPTasks[[#Headers],[ID]]))))=0,"",INDEX(tsk_ActFinish,(ROW()-ROW(MSPTasks[[#Headers],[ID]])))))</f>
        <v/>
      </c>
      <c r="O110" s="126" t="str">
        <f aca="false">IF(IFERROR(INDEX(tsk_Name,(ROW()-ROW(MSPTasks[[#Headers],[ID]])))="",TRUE()),"",INDEX(tsk_PlanStart,(ROW()-ROW(MSPTasks[[#Headers],[ID]]))))</f>
        <v/>
      </c>
      <c r="P110" s="126"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0" s="126" t="str">
        <f aca="false">IF(IFERROR(INDEX(tsk_Name,(ROW()-ROW(MSPTasks[[#Headers],[ID]])))="",TRUE()),"",IF(OR(INDEX(tsk_IsSummary,(ROW()-ROW(MSPTasks[[#Headers],[ID]]))),INDEX(tsk_Mode,(ROW()-ROW(MSPTasks[[#Headers],[ID]])))="Manual"),"",IF(N(INDEX(tsk_ConstraintCode,(ROW()-ROW(MSPTasks[[#Headers],[ID]]))))&lt;2,"",INDEX(tsk_Constraint,(ROW()-ROW(MSPTasks[[#Headers],[ID]]))))))</f>
        <v/>
      </c>
      <c r="W110" s="126"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6" t="str">
        <f aca="false">IF(IFERROR(INDEX(tsk_Name,(ROW()-ROW(MSPTasks[[#Headers],[ID]])))="",TRUE()),"",INDEX(tsk_FcStart,(ROW()-ROW(MSPTasks[[#Headers],[ID]]))))</f>
        <v/>
      </c>
      <c r="H111" s="126"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IF(IFERROR(INDEX(tsk_Name,(ROW()-ROW(MSPTasks[[#Headers],[ID]])))="",TRUE()),"",INDEX(tsk_ResourceNames,(ROW()-ROW(MSPTasks[[#Headers],[ID]])))&amp;"")</f>
        <v/>
      </c>
      <c r="L111" s="24" t="str">
        <f aca="false">IF(IFERROR(INDEX(tsk_Name,(ROW()-ROW(MSPTasks[[#Headers],[ID]])))="",TRUE()),"",IF(INDEX(tsk_IsSummary,(ROW()-ROW(MSPTasks[[#Headers],[ID]]))),"",ROUND(INDEX(tsk_Progress,(ROW()-ROW(MSPTasks[[#Headers],[ID]])))*100,0)))</f>
        <v/>
      </c>
      <c r="M111" s="126" t="str">
        <f aca="false">IF(IFERROR(INDEX(tsk_Name,(ROW()-ROW(MSPTasks[[#Headers],[ID]])))="",TRUE()),"",IF(N(INDEX(tsk_ActStart,(ROW()-ROW(MSPTasks[[#Headers],[ID]]))))=0,"",INDEX(tsk_ActStart,(ROW()-ROW(MSPTasks[[#Headers],[ID]])))))</f>
        <v/>
      </c>
      <c r="N111" s="126" t="str">
        <f aca="false">IF(IFERROR(INDEX(tsk_Name,(ROW()-ROW(MSPTasks[[#Headers],[ID]])))="",TRUE()),"",IF(N(INDEX(tsk_ActFinish,(ROW()-ROW(MSPTasks[[#Headers],[ID]]))))=0,"",INDEX(tsk_ActFinish,(ROW()-ROW(MSPTasks[[#Headers],[ID]])))))</f>
        <v/>
      </c>
      <c r="O111" s="126" t="str">
        <f aca="false">IF(IFERROR(INDEX(tsk_Name,(ROW()-ROW(MSPTasks[[#Headers],[ID]])))="",TRUE()),"",INDEX(tsk_PlanStart,(ROW()-ROW(MSPTasks[[#Headers],[ID]]))))</f>
        <v/>
      </c>
      <c r="P111" s="126"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1" s="126" t="str">
        <f aca="false">IF(IFERROR(INDEX(tsk_Name,(ROW()-ROW(MSPTasks[[#Headers],[ID]])))="",TRUE()),"",IF(OR(INDEX(tsk_IsSummary,(ROW()-ROW(MSPTasks[[#Headers],[ID]]))),INDEX(tsk_Mode,(ROW()-ROW(MSPTasks[[#Headers],[ID]])))="Manual"),"",IF(N(INDEX(tsk_ConstraintCode,(ROW()-ROW(MSPTasks[[#Headers],[ID]]))))&lt;2,"",INDEX(tsk_Constraint,(ROW()-ROW(MSPTasks[[#Headers],[ID]]))))))</f>
        <v/>
      </c>
      <c r="W111" s="126"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6" t="str">
        <f aca="false">IF(IFERROR(INDEX(tsk_Name,(ROW()-ROW(MSPTasks[[#Headers],[ID]])))="",TRUE()),"",INDEX(tsk_FcStart,(ROW()-ROW(MSPTasks[[#Headers],[ID]]))))</f>
        <v/>
      </c>
      <c r="H112" s="126"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IF(IFERROR(INDEX(tsk_Name,(ROW()-ROW(MSPTasks[[#Headers],[ID]])))="",TRUE()),"",INDEX(tsk_ResourceNames,(ROW()-ROW(MSPTasks[[#Headers],[ID]])))&amp;"")</f>
        <v/>
      </c>
      <c r="L112" s="24" t="str">
        <f aca="false">IF(IFERROR(INDEX(tsk_Name,(ROW()-ROW(MSPTasks[[#Headers],[ID]])))="",TRUE()),"",IF(INDEX(tsk_IsSummary,(ROW()-ROW(MSPTasks[[#Headers],[ID]]))),"",ROUND(INDEX(tsk_Progress,(ROW()-ROW(MSPTasks[[#Headers],[ID]])))*100,0)))</f>
        <v/>
      </c>
      <c r="M112" s="126" t="str">
        <f aca="false">IF(IFERROR(INDEX(tsk_Name,(ROW()-ROW(MSPTasks[[#Headers],[ID]])))="",TRUE()),"",IF(N(INDEX(tsk_ActStart,(ROW()-ROW(MSPTasks[[#Headers],[ID]]))))=0,"",INDEX(tsk_ActStart,(ROW()-ROW(MSPTasks[[#Headers],[ID]])))))</f>
        <v/>
      </c>
      <c r="N112" s="126" t="str">
        <f aca="false">IF(IFERROR(INDEX(tsk_Name,(ROW()-ROW(MSPTasks[[#Headers],[ID]])))="",TRUE()),"",IF(N(INDEX(tsk_ActFinish,(ROW()-ROW(MSPTasks[[#Headers],[ID]]))))=0,"",INDEX(tsk_ActFinish,(ROW()-ROW(MSPTasks[[#Headers],[ID]])))))</f>
        <v/>
      </c>
      <c r="O112" s="126" t="str">
        <f aca="false">IF(IFERROR(INDEX(tsk_Name,(ROW()-ROW(MSPTasks[[#Headers],[ID]])))="",TRUE()),"",INDEX(tsk_PlanStart,(ROW()-ROW(MSPTasks[[#Headers],[ID]]))))</f>
        <v/>
      </c>
      <c r="P112" s="126"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2" s="126" t="str">
        <f aca="false">IF(IFERROR(INDEX(tsk_Name,(ROW()-ROW(MSPTasks[[#Headers],[ID]])))="",TRUE()),"",IF(OR(INDEX(tsk_IsSummary,(ROW()-ROW(MSPTasks[[#Headers],[ID]]))),INDEX(tsk_Mode,(ROW()-ROW(MSPTasks[[#Headers],[ID]])))="Manual"),"",IF(N(INDEX(tsk_ConstraintCode,(ROW()-ROW(MSPTasks[[#Headers],[ID]]))))&lt;2,"",INDEX(tsk_Constraint,(ROW()-ROW(MSPTasks[[#Headers],[ID]]))))))</f>
        <v/>
      </c>
      <c r="W112" s="126"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6" t="str">
        <f aca="false">IF(IFERROR(INDEX(tsk_Name,(ROW()-ROW(MSPTasks[[#Headers],[ID]])))="",TRUE()),"",INDEX(tsk_FcStart,(ROW()-ROW(MSPTasks[[#Headers],[ID]]))))</f>
        <v/>
      </c>
      <c r="H113" s="126"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IF(IFERROR(INDEX(tsk_Name,(ROW()-ROW(MSPTasks[[#Headers],[ID]])))="",TRUE()),"",INDEX(tsk_ResourceNames,(ROW()-ROW(MSPTasks[[#Headers],[ID]])))&amp;"")</f>
        <v/>
      </c>
      <c r="L113" s="24" t="str">
        <f aca="false">IF(IFERROR(INDEX(tsk_Name,(ROW()-ROW(MSPTasks[[#Headers],[ID]])))="",TRUE()),"",IF(INDEX(tsk_IsSummary,(ROW()-ROW(MSPTasks[[#Headers],[ID]]))),"",ROUND(INDEX(tsk_Progress,(ROW()-ROW(MSPTasks[[#Headers],[ID]])))*100,0)))</f>
        <v/>
      </c>
      <c r="M113" s="126" t="str">
        <f aca="false">IF(IFERROR(INDEX(tsk_Name,(ROW()-ROW(MSPTasks[[#Headers],[ID]])))="",TRUE()),"",IF(N(INDEX(tsk_ActStart,(ROW()-ROW(MSPTasks[[#Headers],[ID]]))))=0,"",INDEX(tsk_ActStart,(ROW()-ROW(MSPTasks[[#Headers],[ID]])))))</f>
        <v/>
      </c>
      <c r="N113" s="126" t="str">
        <f aca="false">IF(IFERROR(INDEX(tsk_Name,(ROW()-ROW(MSPTasks[[#Headers],[ID]])))="",TRUE()),"",IF(N(INDEX(tsk_ActFinish,(ROW()-ROW(MSPTasks[[#Headers],[ID]]))))=0,"",INDEX(tsk_ActFinish,(ROW()-ROW(MSPTasks[[#Headers],[ID]])))))</f>
        <v/>
      </c>
      <c r="O113" s="126" t="str">
        <f aca="false">IF(IFERROR(INDEX(tsk_Name,(ROW()-ROW(MSPTasks[[#Headers],[ID]])))="",TRUE()),"",INDEX(tsk_PlanStart,(ROW()-ROW(MSPTasks[[#Headers],[ID]]))))</f>
        <v/>
      </c>
      <c r="P113" s="126"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3" s="126" t="str">
        <f aca="false">IF(IFERROR(INDEX(tsk_Name,(ROW()-ROW(MSPTasks[[#Headers],[ID]])))="",TRUE()),"",IF(OR(INDEX(tsk_IsSummary,(ROW()-ROW(MSPTasks[[#Headers],[ID]]))),INDEX(tsk_Mode,(ROW()-ROW(MSPTasks[[#Headers],[ID]])))="Manual"),"",IF(N(INDEX(tsk_ConstraintCode,(ROW()-ROW(MSPTasks[[#Headers],[ID]]))))&lt;2,"",INDEX(tsk_Constraint,(ROW()-ROW(MSPTasks[[#Headers],[ID]]))))))</f>
        <v/>
      </c>
      <c r="W113" s="126"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6" t="str">
        <f aca="false">IF(IFERROR(INDEX(tsk_Name,(ROW()-ROW(MSPTasks[[#Headers],[ID]])))="",TRUE()),"",INDEX(tsk_FcStart,(ROW()-ROW(MSPTasks[[#Headers],[ID]]))))</f>
        <v/>
      </c>
      <c r="H114" s="126"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IF(IFERROR(INDEX(tsk_Name,(ROW()-ROW(MSPTasks[[#Headers],[ID]])))="",TRUE()),"",INDEX(tsk_ResourceNames,(ROW()-ROW(MSPTasks[[#Headers],[ID]])))&amp;"")</f>
        <v/>
      </c>
      <c r="L114" s="24" t="str">
        <f aca="false">IF(IFERROR(INDEX(tsk_Name,(ROW()-ROW(MSPTasks[[#Headers],[ID]])))="",TRUE()),"",IF(INDEX(tsk_IsSummary,(ROW()-ROW(MSPTasks[[#Headers],[ID]]))),"",ROUND(INDEX(tsk_Progress,(ROW()-ROW(MSPTasks[[#Headers],[ID]])))*100,0)))</f>
        <v/>
      </c>
      <c r="M114" s="126" t="str">
        <f aca="false">IF(IFERROR(INDEX(tsk_Name,(ROW()-ROW(MSPTasks[[#Headers],[ID]])))="",TRUE()),"",IF(N(INDEX(tsk_ActStart,(ROW()-ROW(MSPTasks[[#Headers],[ID]]))))=0,"",INDEX(tsk_ActStart,(ROW()-ROW(MSPTasks[[#Headers],[ID]])))))</f>
        <v/>
      </c>
      <c r="N114" s="126" t="str">
        <f aca="false">IF(IFERROR(INDEX(tsk_Name,(ROW()-ROW(MSPTasks[[#Headers],[ID]])))="",TRUE()),"",IF(N(INDEX(tsk_ActFinish,(ROW()-ROW(MSPTasks[[#Headers],[ID]]))))=0,"",INDEX(tsk_ActFinish,(ROW()-ROW(MSPTasks[[#Headers],[ID]])))))</f>
        <v/>
      </c>
      <c r="O114" s="126" t="str">
        <f aca="false">IF(IFERROR(INDEX(tsk_Name,(ROW()-ROW(MSPTasks[[#Headers],[ID]])))="",TRUE()),"",INDEX(tsk_PlanStart,(ROW()-ROW(MSPTasks[[#Headers],[ID]]))))</f>
        <v/>
      </c>
      <c r="P114" s="126"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4" s="126" t="str">
        <f aca="false">IF(IFERROR(INDEX(tsk_Name,(ROW()-ROW(MSPTasks[[#Headers],[ID]])))="",TRUE()),"",IF(OR(INDEX(tsk_IsSummary,(ROW()-ROW(MSPTasks[[#Headers],[ID]]))),INDEX(tsk_Mode,(ROW()-ROW(MSPTasks[[#Headers],[ID]])))="Manual"),"",IF(N(INDEX(tsk_ConstraintCode,(ROW()-ROW(MSPTasks[[#Headers],[ID]]))))&lt;2,"",INDEX(tsk_Constraint,(ROW()-ROW(MSPTasks[[#Headers],[ID]]))))))</f>
        <v/>
      </c>
      <c r="W114" s="126"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6" t="str">
        <f aca="false">IF(IFERROR(INDEX(tsk_Name,(ROW()-ROW(MSPTasks[[#Headers],[ID]])))="",TRUE()),"",INDEX(tsk_FcStart,(ROW()-ROW(MSPTasks[[#Headers],[ID]]))))</f>
        <v/>
      </c>
      <c r="H115" s="126"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IF(IFERROR(INDEX(tsk_Name,(ROW()-ROW(MSPTasks[[#Headers],[ID]])))="",TRUE()),"",INDEX(tsk_ResourceNames,(ROW()-ROW(MSPTasks[[#Headers],[ID]])))&amp;"")</f>
        <v/>
      </c>
      <c r="L115" s="24" t="str">
        <f aca="false">IF(IFERROR(INDEX(tsk_Name,(ROW()-ROW(MSPTasks[[#Headers],[ID]])))="",TRUE()),"",IF(INDEX(tsk_IsSummary,(ROW()-ROW(MSPTasks[[#Headers],[ID]]))),"",ROUND(INDEX(tsk_Progress,(ROW()-ROW(MSPTasks[[#Headers],[ID]])))*100,0)))</f>
        <v/>
      </c>
      <c r="M115" s="126" t="str">
        <f aca="false">IF(IFERROR(INDEX(tsk_Name,(ROW()-ROW(MSPTasks[[#Headers],[ID]])))="",TRUE()),"",IF(N(INDEX(tsk_ActStart,(ROW()-ROW(MSPTasks[[#Headers],[ID]]))))=0,"",INDEX(tsk_ActStart,(ROW()-ROW(MSPTasks[[#Headers],[ID]])))))</f>
        <v/>
      </c>
      <c r="N115" s="126" t="str">
        <f aca="false">IF(IFERROR(INDEX(tsk_Name,(ROW()-ROW(MSPTasks[[#Headers],[ID]])))="",TRUE()),"",IF(N(INDEX(tsk_ActFinish,(ROW()-ROW(MSPTasks[[#Headers],[ID]]))))=0,"",INDEX(tsk_ActFinish,(ROW()-ROW(MSPTasks[[#Headers],[ID]])))))</f>
        <v/>
      </c>
      <c r="O115" s="126" t="str">
        <f aca="false">IF(IFERROR(INDEX(tsk_Name,(ROW()-ROW(MSPTasks[[#Headers],[ID]])))="",TRUE()),"",INDEX(tsk_PlanStart,(ROW()-ROW(MSPTasks[[#Headers],[ID]]))))</f>
        <v/>
      </c>
      <c r="P115" s="126"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5" s="126" t="str">
        <f aca="false">IF(IFERROR(INDEX(tsk_Name,(ROW()-ROW(MSPTasks[[#Headers],[ID]])))="",TRUE()),"",IF(OR(INDEX(tsk_IsSummary,(ROW()-ROW(MSPTasks[[#Headers],[ID]]))),INDEX(tsk_Mode,(ROW()-ROW(MSPTasks[[#Headers],[ID]])))="Manual"),"",IF(N(INDEX(tsk_ConstraintCode,(ROW()-ROW(MSPTasks[[#Headers],[ID]]))))&lt;2,"",INDEX(tsk_Constraint,(ROW()-ROW(MSPTasks[[#Headers],[ID]]))))))</f>
        <v/>
      </c>
      <c r="W115" s="126"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6" t="str">
        <f aca="false">IF(IFERROR(INDEX(tsk_Name,(ROW()-ROW(MSPTasks[[#Headers],[ID]])))="",TRUE()),"",INDEX(tsk_FcStart,(ROW()-ROW(MSPTasks[[#Headers],[ID]]))))</f>
        <v/>
      </c>
      <c r="H116" s="126"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IF(IFERROR(INDEX(tsk_Name,(ROW()-ROW(MSPTasks[[#Headers],[ID]])))="",TRUE()),"",INDEX(tsk_ResourceNames,(ROW()-ROW(MSPTasks[[#Headers],[ID]])))&amp;"")</f>
        <v/>
      </c>
      <c r="L116" s="24" t="str">
        <f aca="false">IF(IFERROR(INDEX(tsk_Name,(ROW()-ROW(MSPTasks[[#Headers],[ID]])))="",TRUE()),"",IF(INDEX(tsk_IsSummary,(ROW()-ROW(MSPTasks[[#Headers],[ID]]))),"",ROUND(INDEX(tsk_Progress,(ROW()-ROW(MSPTasks[[#Headers],[ID]])))*100,0)))</f>
        <v/>
      </c>
      <c r="M116" s="126" t="str">
        <f aca="false">IF(IFERROR(INDEX(tsk_Name,(ROW()-ROW(MSPTasks[[#Headers],[ID]])))="",TRUE()),"",IF(N(INDEX(tsk_ActStart,(ROW()-ROW(MSPTasks[[#Headers],[ID]]))))=0,"",INDEX(tsk_ActStart,(ROW()-ROW(MSPTasks[[#Headers],[ID]])))))</f>
        <v/>
      </c>
      <c r="N116" s="126" t="str">
        <f aca="false">IF(IFERROR(INDEX(tsk_Name,(ROW()-ROW(MSPTasks[[#Headers],[ID]])))="",TRUE()),"",IF(N(INDEX(tsk_ActFinish,(ROW()-ROW(MSPTasks[[#Headers],[ID]]))))=0,"",INDEX(tsk_ActFinish,(ROW()-ROW(MSPTasks[[#Headers],[ID]])))))</f>
        <v/>
      </c>
      <c r="O116" s="126" t="str">
        <f aca="false">IF(IFERROR(INDEX(tsk_Name,(ROW()-ROW(MSPTasks[[#Headers],[ID]])))="",TRUE()),"",INDEX(tsk_PlanStart,(ROW()-ROW(MSPTasks[[#Headers],[ID]]))))</f>
        <v/>
      </c>
      <c r="P116" s="126"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6" s="126" t="str">
        <f aca="false">IF(IFERROR(INDEX(tsk_Name,(ROW()-ROW(MSPTasks[[#Headers],[ID]])))="",TRUE()),"",IF(OR(INDEX(tsk_IsSummary,(ROW()-ROW(MSPTasks[[#Headers],[ID]]))),INDEX(tsk_Mode,(ROW()-ROW(MSPTasks[[#Headers],[ID]])))="Manual"),"",IF(N(INDEX(tsk_ConstraintCode,(ROW()-ROW(MSPTasks[[#Headers],[ID]]))))&lt;2,"",INDEX(tsk_Constraint,(ROW()-ROW(MSPTasks[[#Headers],[ID]]))))))</f>
        <v/>
      </c>
      <c r="W116" s="126"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6" t="str">
        <f aca="false">IF(IFERROR(INDEX(tsk_Name,(ROW()-ROW(MSPTasks[[#Headers],[ID]])))="",TRUE()),"",INDEX(tsk_FcStart,(ROW()-ROW(MSPTasks[[#Headers],[ID]]))))</f>
        <v/>
      </c>
      <c r="H117" s="126"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IF(IFERROR(INDEX(tsk_Name,(ROW()-ROW(MSPTasks[[#Headers],[ID]])))="",TRUE()),"",INDEX(tsk_ResourceNames,(ROW()-ROW(MSPTasks[[#Headers],[ID]])))&amp;"")</f>
        <v/>
      </c>
      <c r="L117" s="24" t="str">
        <f aca="false">IF(IFERROR(INDEX(tsk_Name,(ROW()-ROW(MSPTasks[[#Headers],[ID]])))="",TRUE()),"",IF(INDEX(tsk_IsSummary,(ROW()-ROW(MSPTasks[[#Headers],[ID]]))),"",ROUND(INDEX(tsk_Progress,(ROW()-ROW(MSPTasks[[#Headers],[ID]])))*100,0)))</f>
        <v/>
      </c>
      <c r="M117" s="126" t="str">
        <f aca="false">IF(IFERROR(INDEX(tsk_Name,(ROW()-ROW(MSPTasks[[#Headers],[ID]])))="",TRUE()),"",IF(N(INDEX(tsk_ActStart,(ROW()-ROW(MSPTasks[[#Headers],[ID]]))))=0,"",INDEX(tsk_ActStart,(ROW()-ROW(MSPTasks[[#Headers],[ID]])))))</f>
        <v/>
      </c>
      <c r="N117" s="126" t="str">
        <f aca="false">IF(IFERROR(INDEX(tsk_Name,(ROW()-ROW(MSPTasks[[#Headers],[ID]])))="",TRUE()),"",IF(N(INDEX(tsk_ActFinish,(ROW()-ROW(MSPTasks[[#Headers],[ID]]))))=0,"",INDEX(tsk_ActFinish,(ROW()-ROW(MSPTasks[[#Headers],[ID]])))))</f>
        <v/>
      </c>
      <c r="O117" s="126" t="str">
        <f aca="false">IF(IFERROR(INDEX(tsk_Name,(ROW()-ROW(MSPTasks[[#Headers],[ID]])))="",TRUE()),"",INDEX(tsk_PlanStart,(ROW()-ROW(MSPTasks[[#Headers],[ID]]))))</f>
        <v/>
      </c>
      <c r="P117" s="126"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7" s="126" t="str">
        <f aca="false">IF(IFERROR(INDEX(tsk_Name,(ROW()-ROW(MSPTasks[[#Headers],[ID]])))="",TRUE()),"",IF(OR(INDEX(tsk_IsSummary,(ROW()-ROW(MSPTasks[[#Headers],[ID]]))),INDEX(tsk_Mode,(ROW()-ROW(MSPTasks[[#Headers],[ID]])))="Manual"),"",IF(N(INDEX(tsk_ConstraintCode,(ROW()-ROW(MSPTasks[[#Headers],[ID]]))))&lt;2,"",INDEX(tsk_Constraint,(ROW()-ROW(MSPTasks[[#Headers],[ID]]))))))</f>
        <v/>
      </c>
      <c r="W117" s="126"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6" t="str">
        <f aca="false">IF(IFERROR(INDEX(tsk_Name,(ROW()-ROW(MSPTasks[[#Headers],[ID]])))="",TRUE()),"",INDEX(tsk_FcStart,(ROW()-ROW(MSPTasks[[#Headers],[ID]]))))</f>
        <v/>
      </c>
      <c r="H118" s="126"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IF(IFERROR(INDEX(tsk_Name,(ROW()-ROW(MSPTasks[[#Headers],[ID]])))="",TRUE()),"",INDEX(tsk_ResourceNames,(ROW()-ROW(MSPTasks[[#Headers],[ID]])))&amp;"")</f>
        <v/>
      </c>
      <c r="L118" s="24" t="str">
        <f aca="false">IF(IFERROR(INDEX(tsk_Name,(ROW()-ROW(MSPTasks[[#Headers],[ID]])))="",TRUE()),"",IF(INDEX(tsk_IsSummary,(ROW()-ROW(MSPTasks[[#Headers],[ID]]))),"",ROUND(INDEX(tsk_Progress,(ROW()-ROW(MSPTasks[[#Headers],[ID]])))*100,0)))</f>
        <v/>
      </c>
      <c r="M118" s="126" t="str">
        <f aca="false">IF(IFERROR(INDEX(tsk_Name,(ROW()-ROW(MSPTasks[[#Headers],[ID]])))="",TRUE()),"",IF(N(INDEX(tsk_ActStart,(ROW()-ROW(MSPTasks[[#Headers],[ID]]))))=0,"",INDEX(tsk_ActStart,(ROW()-ROW(MSPTasks[[#Headers],[ID]])))))</f>
        <v/>
      </c>
      <c r="N118" s="126" t="str">
        <f aca="false">IF(IFERROR(INDEX(tsk_Name,(ROW()-ROW(MSPTasks[[#Headers],[ID]])))="",TRUE()),"",IF(N(INDEX(tsk_ActFinish,(ROW()-ROW(MSPTasks[[#Headers],[ID]]))))=0,"",INDEX(tsk_ActFinish,(ROW()-ROW(MSPTasks[[#Headers],[ID]])))))</f>
        <v/>
      </c>
      <c r="O118" s="126" t="str">
        <f aca="false">IF(IFERROR(INDEX(tsk_Name,(ROW()-ROW(MSPTasks[[#Headers],[ID]])))="",TRUE()),"",INDEX(tsk_PlanStart,(ROW()-ROW(MSPTasks[[#Headers],[ID]]))))</f>
        <v/>
      </c>
      <c r="P118" s="126"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8" s="126" t="str">
        <f aca="false">IF(IFERROR(INDEX(tsk_Name,(ROW()-ROW(MSPTasks[[#Headers],[ID]])))="",TRUE()),"",IF(OR(INDEX(tsk_IsSummary,(ROW()-ROW(MSPTasks[[#Headers],[ID]]))),INDEX(tsk_Mode,(ROW()-ROW(MSPTasks[[#Headers],[ID]])))="Manual"),"",IF(N(INDEX(tsk_ConstraintCode,(ROW()-ROW(MSPTasks[[#Headers],[ID]]))))&lt;2,"",INDEX(tsk_Constraint,(ROW()-ROW(MSPTasks[[#Headers],[ID]]))))))</f>
        <v/>
      </c>
      <c r="W118" s="126"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6" t="str">
        <f aca="false">IF(IFERROR(INDEX(tsk_Name,(ROW()-ROW(MSPTasks[[#Headers],[ID]])))="",TRUE()),"",INDEX(tsk_FcStart,(ROW()-ROW(MSPTasks[[#Headers],[ID]]))))</f>
        <v/>
      </c>
      <c r="H119" s="126"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IF(IFERROR(INDEX(tsk_Name,(ROW()-ROW(MSPTasks[[#Headers],[ID]])))="",TRUE()),"",INDEX(tsk_ResourceNames,(ROW()-ROW(MSPTasks[[#Headers],[ID]])))&amp;"")</f>
        <v/>
      </c>
      <c r="L119" s="24" t="str">
        <f aca="false">IF(IFERROR(INDEX(tsk_Name,(ROW()-ROW(MSPTasks[[#Headers],[ID]])))="",TRUE()),"",IF(INDEX(tsk_IsSummary,(ROW()-ROW(MSPTasks[[#Headers],[ID]]))),"",ROUND(INDEX(tsk_Progress,(ROW()-ROW(MSPTasks[[#Headers],[ID]])))*100,0)))</f>
        <v/>
      </c>
      <c r="M119" s="126" t="str">
        <f aca="false">IF(IFERROR(INDEX(tsk_Name,(ROW()-ROW(MSPTasks[[#Headers],[ID]])))="",TRUE()),"",IF(N(INDEX(tsk_ActStart,(ROW()-ROW(MSPTasks[[#Headers],[ID]]))))=0,"",INDEX(tsk_ActStart,(ROW()-ROW(MSPTasks[[#Headers],[ID]])))))</f>
        <v/>
      </c>
      <c r="N119" s="126" t="str">
        <f aca="false">IF(IFERROR(INDEX(tsk_Name,(ROW()-ROW(MSPTasks[[#Headers],[ID]])))="",TRUE()),"",IF(N(INDEX(tsk_ActFinish,(ROW()-ROW(MSPTasks[[#Headers],[ID]]))))=0,"",INDEX(tsk_ActFinish,(ROW()-ROW(MSPTasks[[#Headers],[ID]])))))</f>
        <v/>
      </c>
      <c r="O119" s="126" t="str">
        <f aca="false">IF(IFERROR(INDEX(tsk_Name,(ROW()-ROW(MSPTasks[[#Headers],[ID]])))="",TRUE()),"",INDEX(tsk_PlanStart,(ROW()-ROW(MSPTasks[[#Headers],[ID]]))))</f>
        <v/>
      </c>
      <c r="P119" s="126"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9" s="126" t="str">
        <f aca="false">IF(IFERROR(INDEX(tsk_Name,(ROW()-ROW(MSPTasks[[#Headers],[ID]])))="",TRUE()),"",IF(OR(INDEX(tsk_IsSummary,(ROW()-ROW(MSPTasks[[#Headers],[ID]]))),INDEX(tsk_Mode,(ROW()-ROW(MSPTasks[[#Headers],[ID]])))="Manual"),"",IF(N(INDEX(tsk_ConstraintCode,(ROW()-ROW(MSPTasks[[#Headers],[ID]]))))&lt;2,"",INDEX(tsk_Constraint,(ROW()-ROW(MSPTasks[[#Headers],[ID]]))))))</f>
        <v/>
      </c>
      <c r="W119" s="126"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6" t="str">
        <f aca="false">IF(IFERROR(INDEX(tsk_Name,(ROW()-ROW(MSPTasks[[#Headers],[ID]])))="",TRUE()),"",INDEX(tsk_FcStart,(ROW()-ROW(MSPTasks[[#Headers],[ID]]))))</f>
        <v/>
      </c>
      <c r="H120" s="126"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IF(IFERROR(INDEX(tsk_Name,(ROW()-ROW(MSPTasks[[#Headers],[ID]])))="",TRUE()),"",INDEX(tsk_ResourceNames,(ROW()-ROW(MSPTasks[[#Headers],[ID]])))&amp;"")</f>
        <v/>
      </c>
      <c r="L120" s="24" t="str">
        <f aca="false">IF(IFERROR(INDEX(tsk_Name,(ROW()-ROW(MSPTasks[[#Headers],[ID]])))="",TRUE()),"",IF(INDEX(tsk_IsSummary,(ROW()-ROW(MSPTasks[[#Headers],[ID]]))),"",ROUND(INDEX(tsk_Progress,(ROW()-ROW(MSPTasks[[#Headers],[ID]])))*100,0)))</f>
        <v/>
      </c>
      <c r="M120" s="126" t="str">
        <f aca="false">IF(IFERROR(INDEX(tsk_Name,(ROW()-ROW(MSPTasks[[#Headers],[ID]])))="",TRUE()),"",IF(N(INDEX(tsk_ActStart,(ROW()-ROW(MSPTasks[[#Headers],[ID]]))))=0,"",INDEX(tsk_ActStart,(ROW()-ROW(MSPTasks[[#Headers],[ID]])))))</f>
        <v/>
      </c>
      <c r="N120" s="126" t="str">
        <f aca="false">IF(IFERROR(INDEX(tsk_Name,(ROW()-ROW(MSPTasks[[#Headers],[ID]])))="",TRUE()),"",IF(N(INDEX(tsk_ActFinish,(ROW()-ROW(MSPTasks[[#Headers],[ID]]))))=0,"",INDEX(tsk_ActFinish,(ROW()-ROW(MSPTasks[[#Headers],[ID]])))))</f>
        <v/>
      </c>
      <c r="O120" s="126" t="str">
        <f aca="false">IF(IFERROR(INDEX(tsk_Name,(ROW()-ROW(MSPTasks[[#Headers],[ID]])))="",TRUE()),"",INDEX(tsk_PlanStart,(ROW()-ROW(MSPTasks[[#Headers],[ID]]))))</f>
        <v/>
      </c>
      <c r="P120" s="126"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0" s="126" t="str">
        <f aca="false">IF(IFERROR(INDEX(tsk_Name,(ROW()-ROW(MSPTasks[[#Headers],[ID]])))="",TRUE()),"",IF(OR(INDEX(tsk_IsSummary,(ROW()-ROW(MSPTasks[[#Headers],[ID]]))),INDEX(tsk_Mode,(ROW()-ROW(MSPTasks[[#Headers],[ID]])))="Manual"),"",IF(N(INDEX(tsk_ConstraintCode,(ROW()-ROW(MSPTasks[[#Headers],[ID]]))))&lt;2,"",INDEX(tsk_Constraint,(ROW()-ROW(MSPTasks[[#Headers],[ID]]))))))</f>
        <v/>
      </c>
      <c r="W120" s="126"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6" t="str">
        <f aca="false">IF(IFERROR(INDEX(tsk_Name,(ROW()-ROW(MSPTasks[[#Headers],[ID]])))="",TRUE()),"",INDEX(tsk_FcStart,(ROW()-ROW(MSPTasks[[#Headers],[ID]]))))</f>
        <v/>
      </c>
      <c r="H121" s="126"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IF(IFERROR(INDEX(tsk_Name,(ROW()-ROW(MSPTasks[[#Headers],[ID]])))="",TRUE()),"",INDEX(tsk_ResourceNames,(ROW()-ROW(MSPTasks[[#Headers],[ID]])))&amp;"")</f>
        <v/>
      </c>
      <c r="L121" s="24" t="str">
        <f aca="false">IF(IFERROR(INDEX(tsk_Name,(ROW()-ROW(MSPTasks[[#Headers],[ID]])))="",TRUE()),"",IF(INDEX(tsk_IsSummary,(ROW()-ROW(MSPTasks[[#Headers],[ID]]))),"",ROUND(INDEX(tsk_Progress,(ROW()-ROW(MSPTasks[[#Headers],[ID]])))*100,0)))</f>
        <v/>
      </c>
      <c r="M121" s="126" t="str">
        <f aca="false">IF(IFERROR(INDEX(tsk_Name,(ROW()-ROW(MSPTasks[[#Headers],[ID]])))="",TRUE()),"",IF(N(INDEX(tsk_ActStart,(ROW()-ROW(MSPTasks[[#Headers],[ID]]))))=0,"",INDEX(tsk_ActStart,(ROW()-ROW(MSPTasks[[#Headers],[ID]])))))</f>
        <v/>
      </c>
      <c r="N121" s="126" t="str">
        <f aca="false">IF(IFERROR(INDEX(tsk_Name,(ROW()-ROW(MSPTasks[[#Headers],[ID]])))="",TRUE()),"",IF(N(INDEX(tsk_ActFinish,(ROW()-ROW(MSPTasks[[#Headers],[ID]]))))=0,"",INDEX(tsk_ActFinish,(ROW()-ROW(MSPTasks[[#Headers],[ID]])))))</f>
        <v/>
      </c>
      <c r="O121" s="126" t="str">
        <f aca="false">IF(IFERROR(INDEX(tsk_Name,(ROW()-ROW(MSPTasks[[#Headers],[ID]])))="",TRUE()),"",INDEX(tsk_PlanStart,(ROW()-ROW(MSPTasks[[#Headers],[ID]]))))</f>
        <v/>
      </c>
      <c r="P121" s="126"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1" s="126" t="str">
        <f aca="false">IF(IFERROR(INDEX(tsk_Name,(ROW()-ROW(MSPTasks[[#Headers],[ID]])))="",TRUE()),"",IF(OR(INDEX(tsk_IsSummary,(ROW()-ROW(MSPTasks[[#Headers],[ID]]))),INDEX(tsk_Mode,(ROW()-ROW(MSPTasks[[#Headers],[ID]])))="Manual"),"",IF(N(INDEX(tsk_ConstraintCode,(ROW()-ROW(MSPTasks[[#Headers],[ID]]))))&lt;2,"",INDEX(tsk_Constraint,(ROW()-ROW(MSPTasks[[#Headers],[ID]]))))))</f>
        <v/>
      </c>
      <c r="W121" s="126"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6" t="str">
        <f aca="false">IF(IFERROR(INDEX(tsk_Name,(ROW()-ROW(MSPTasks[[#Headers],[ID]])))="",TRUE()),"",INDEX(tsk_FcStart,(ROW()-ROW(MSPTasks[[#Headers],[ID]]))))</f>
        <v/>
      </c>
      <c r="H122" s="126"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IF(IFERROR(INDEX(tsk_Name,(ROW()-ROW(MSPTasks[[#Headers],[ID]])))="",TRUE()),"",INDEX(tsk_ResourceNames,(ROW()-ROW(MSPTasks[[#Headers],[ID]])))&amp;"")</f>
        <v/>
      </c>
      <c r="L122" s="24" t="str">
        <f aca="false">IF(IFERROR(INDEX(tsk_Name,(ROW()-ROW(MSPTasks[[#Headers],[ID]])))="",TRUE()),"",IF(INDEX(tsk_IsSummary,(ROW()-ROW(MSPTasks[[#Headers],[ID]]))),"",ROUND(INDEX(tsk_Progress,(ROW()-ROW(MSPTasks[[#Headers],[ID]])))*100,0)))</f>
        <v/>
      </c>
      <c r="M122" s="126" t="str">
        <f aca="false">IF(IFERROR(INDEX(tsk_Name,(ROW()-ROW(MSPTasks[[#Headers],[ID]])))="",TRUE()),"",IF(N(INDEX(tsk_ActStart,(ROW()-ROW(MSPTasks[[#Headers],[ID]]))))=0,"",INDEX(tsk_ActStart,(ROW()-ROW(MSPTasks[[#Headers],[ID]])))))</f>
        <v/>
      </c>
      <c r="N122" s="126" t="str">
        <f aca="false">IF(IFERROR(INDEX(tsk_Name,(ROW()-ROW(MSPTasks[[#Headers],[ID]])))="",TRUE()),"",IF(N(INDEX(tsk_ActFinish,(ROW()-ROW(MSPTasks[[#Headers],[ID]]))))=0,"",INDEX(tsk_ActFinish,(ROW()-ROW(MSPTasks[[#Headers],[ID]])))))</f>
        <v/>
      </c>
      <c r="O122" s="126" t="str">
        <f aca="false">IF(IFERROR(INDEX(tsk_Name,(ROW()-ROW(MSPTasks[[#Headers],[ID]])))="",TRUE()),"",INDEX(tsk_PlanStart,(ROW()-ROW(MSPTasks[[#Headers],[ID]]))))</f>
        <v/>
      </c>
      <c r="P122" s="126"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2" s="126" t="str">
        <f aca="false">IF(IFERROR(INDEX(tsk_Name,(ROW()-ROW(MSPTasks[[#Headers],[ID]])))="",TRUE()),"",IF(OR(INDEX(tsk_IsSummary,(ROW()-ROW(MSPTasks[[#Headers],[ID]]))),INDEX(tsk_Mode,(ROW()-ROW(MSPTasks[[#Headers],[ID]])))="Manual"),"",IF(N(INDEX(tsk_ConstraintCode,(ROW()-ROW(MSPTasks[[#Headers],[ID]]))))&lt;2,"",INDEX(tsk_Constraint,(ROW()-ROW(MSPTasks[[#Headers],[ID]]))))))</f>
        <v/>
      </c>
      <c r="W122" s="126"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6" t="str">
        <f aca="false">IF(IFERROR(INDEX(tsk_Name,(ROW()-ROW(MSPTasks[[#Headers],[ID]])))="",TRUE()),"",INDEX(tsk_FcStart,(ROW()-ROW(MSPTasks[[#Headers],[ID]]))))</f>
        <v/>
      </c>
      <c r="H123" s="126"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IF(IFERROR(INDEX(tsk_Name,(ROW()-ROW(MSPTasks[[#Headers],[ID]])))="",TRUE()),"",INDEX(tsk_ResourceNames,(ROW()-ROW(MSPTasks[[#Headers],[ID]])))&amp;"")</f>
        <v/>
      </c>
      <c r="L123" s="24" t="str">
        <f aca="false">IF(IFERROR(INDEX(tsk_Name,(ROW()-ROW(MSPTasks[[#Headers],[ID]])))="",TRUE()),"",IF(INDEX(tsk_IsSummary,(ROW()-ROW(MSPTasks[[#Headers],[ID]]))),"",ROUND(INDEX(tsk_Progress,(ROW()-ROW(MSPTasks[[#Headers],[ID]])))*100,0)))</f>
        <v/>
      </c>
      <c r="M123" s="126" t="str">
        <f aca="false">IF(IFERROR(INDEX(tsk_Name,(ROW()-ROW(MSPTasks[[#Headers],[ID]])))="",TRUE()),"",IF(N(INDEX(tsk_ActStart,(ROW()-ROW(MSPTasks[[#Headers],[ID]]))))=0,"",INDEX(tsk_ActStart,(ROW()-ROW(MSPTasks[[#Headers],[ID]])))))</f>
        <v/>
      </c>
      <c r="N123" s="126" t="str">
        <f aca="false">IF(IFERROR(INDEX(tsk_Name,(ROW()-ROW(MSPTasks[[#Headers],[ID]])))="",TRUE()),"",IF(N(INDEX(tsk_ActFinish,(ROW()-ROW(MSPTasks[[#Headers],[ID]]))))=0,"",INDEX(tsk_ActFinish,(ROW()-ROW(MSPTasks[[#Headers],[ID]])))))</f>
        <v/>
      </c>
      <c r="O123" s="126" t="str">
        <f aca="false">IF(IFERROR(INDEX(tsk_Name,(ROW()-ROW(MSPTasks[[#Headers],[ID]])))="",TRUE()),"",INDEX(tsk_PlanStart,(ROW()-ROW(MSPTasks[[#Headers],[ID]]))))</f>
        <v/>
      </c>
      <c r="P123" s="126"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3" s="126" t="str">
        <f aca="false">IF(IFERROR(INDEX(tsk_Name,(ROW()-ROW(MSPTasks[[#Headers],[ID]])))="",TRUE()),"",IF(OR(INDEX(tsk_IsSummary,(ROW()-ROW(MSPTasks[[#Headers],[ID]]))),INDEX(tsk_Mode,(ROW()-ROW(MSPTasks[[#Headers],[ID]])))="Manual"),"",IF(N(INDEX(tsk_ConstraintCode,(ROW()-ROW(MSPTasks[[#Headers],[ID]]))))&lt;2,"",INDEX(tsk_Constraint,(ROW()-ROW(MSPTasks[[#Headers],[ID]]))))))</f>
        <v/>
      </c>
      <c r="W123" s="126"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6" t="str">
        <f aca="false">IF(IFERROR(INDEX(tsk_Name,(ROW()-ROW(MSPTasks[[#Headers],[ID]])))="",TRUE()),"",INDEX(tsk_FcStart,(ROW()-ROW(MSPTasks[[#Headers],[ID]]))))</f>
        <v/>
      </c>
      <c r="H124" s="126"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IF(IFERROR(INDEX(tsk_Name,(ROW()-ROW(MSPTasks[[#Headers],[ID]])))="",TRUE()),"",INDEX(tsk_ResourceNames,(ROW()-ROW(MSPTasks[[#Headers],[ID]])))&amp;"")</f>
        <v/>
      </c>
      <c r="L124" s="24" t="str">
        <f aca="false">IF(IFERROR(INDEX(tsk_Name,(ROW()-ROW(MSPTasks[[#Headers],[ID]])))="",TRUE()),"",IF(INDEX(tsk_IsSummary,(ROW()-ROW(MSPTasks[[#Headers],[ID]]))),"",ROUND(INDEX(tsk_Progress,(ROW()-ROW(MSPTasks[[#Headers],[ID]])))*100,0)))</f>
        <v/>
      </c>
      <c r="M124" s="126" t="str">
        <f aca="false">IF(IFERROR(INDEX(tsk_Name,(ROW()-ROW(MSPTasks[[#Headers],[ID]])))="",TRUE()),"",IF(N(INDEX(tsk_ActStart,(ROW()-ROW(MSPTasks[[#Headers],[ID]]))))=0,"",INDEX(tsk_ActStart,(ROW()-ROW(MSPTasks[[#Headers],[ID]])))))</f>
        <v/>
      </c>
      <c r="N124" s="126" t="str">
        <f aca="false">IF(IFERROR(INDEX(tsk_Name,(ROW()-ROW(MSPTasks[[#Headers],[ID]])))="",TRUE()),"",IF(N(INDEX(tsk_ActFinish,(ROW()-ROW(MSPTasks[[#Headers],[ID]]))))=0,"",INDEX(tsk_ActFinish,(ROW()-ROW(MSPTasks[[#Headers],[ID]])))))</f>
        <v/>
      </c>
      <c r="O124" s="126" t="str">
        <f aca="false">IF(IFERROR(INDEX(tsk_Name,(ROW()-ROW(MSPTasks[[#Headers],[ID]])))="",TRUE()),"",INDEX(tsk_PlanStart,(ROW()-ROW(MSPTasks[[#Headers],[ID]]))))</f>
        <v/>
      </c>
      <c r="P124" s="126"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4" s="126" t="str">
        <f aca="false">IF(IFERROR(INDEX(tsk_Name,(ROW()-ROW(MSPTasks[[#Headers],[ID]])))="",TRUE()),"",IF(OR(INDEX(tsk_IsSummary,(ROW()-ROW(MSPTasks[[#Headers],[ID]]))),INDEX(tsk_Mode,(ROW()-ROW(MSPTasks[[#Headers],[ID]])))="Manual"),"",IF(N(INDEX(tsk_ConstraintCode,(ROW()-ROW(MSPTasks[[#Headers],[ID]]))))&lt;2,"",INDEX(tsk_Constraint,(ROW()-ROW(MSPTasks[[#Headers],[ID]]))))))</f>
        <v/>
      </c>
      <c r="W124" s="126"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6" t="str">
        <f aca="false">IF(IFERROR(INDEX(tsk_Name,(ROW()-ROW(MSPTasks[[#Headers],[ID]])))="",TRUE()),"",INDEX(tsk_FcStart,(ROW()-ROW(MSPTasks[[#Headers],[ID]]))))</f>
        <v/>
      </c>
      <c r="H125" s="126"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IF(IFERROR(INDEX(tsk_Name,(ROW()-ROW(MSPTasks[[#Headers],[ID]])))="",TRUE()),"",INDEX(tsk_ResourceNames,(ROW()-ROW(MSPTasks[[#Headers],[ID]])))&amp;"")</f>
        <v/>
      </c>
      <c r="L125" s="24" t="str">
        <f aca="false">IF(IFERROR(INDEX(tsk_Name,(ROW()-ROW(MSPTasks[[#Headers],[ID]])))="",TRUE()),"",IF(INDEX(tsk_IsSummary,(ROW()-ROW(MSPTasks[[#Headers],[ID]]))),"",ROUND(INDEX(tsk_Progress,(ROW()-ROW(MSPTasks[[#Headers],[ID]])))*100,0)))</f>
        <v/>
      </c>
      <c r="M125" s="126" t="str">
        <f aca="false">IF(IFERROR(INDEX(tsk_Name,(ROW()-ROW(MSPTasks[[#Headers],[ID]])))="",TRUE()),"",IF(N(INDEX(tsk_ActStart,(ROW()-ROW(MSPTasks[[#Headers],[ID]]))))=0,"",INDEX(tsk_ActStart,(ROW()-ROW(MSPTasks[[#Headers],[ID]])))))</f>
        <v/>
      </c>
      <c r="N125" s="126" t="str">
        <f aca="false">IF(IFERROR(INDEX(tsk_Name,(ROW()-ROW(MSPTasks[[#Headers],[ID]])))="",TRUE()),"",IF(N(INDEX(tsk_ActFinish,(ROW()-ROW(MSPTasks[[#Headers],[ID]]))))=0,"",INDEX(tsk_ActFinish,(ROW()-ROW(MSPTasks[[#Headers],[ID]])))))</f>
        <v/>
      </c>
      <c r="O125" s="126" t="str">
        <f aca="false">IF(IFERROR(INDEX(tsk_Name,(ROW()-ROW(MSPTasks[[#Headers],[ID]])))="",TRUE()),"",INDEX(tsk_PlanStart,(ROW()-ROW(MSPTasks[[#Headers],[ID]]))))</f>
        <v/>
      </c>
      <c r="P125" s="126"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5" s="126" t="str">
        <f aca="false">IF(IFERROR(INDEX(tsk_Name,(ROW()-ROW(MSPTasks[[#Headers],[ID]])))="",TRUE()),"",IF(OR(INDEX(tsk_IsSummary,(ROW()-ROW(MSPTasks[[#Headers],[ID]]))),INDEX(tsk_Mode,(ROW()-ROW(MSPTasks[[#Headers],[ID]])))="Manual"),"",IF(N(INDEX(tsk_ConstraintCode,(ROW()-ROW(MSPTasks[[#Headers],[ID]]))))&lt;2,"",INDEX(tsk_Constraint,(ROW()-ROW(MSPTasks[[#Headers],[ID]]))))))</f>
        <v/>
      </c>
      <c r="W125" s="126"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6" t="str">
        <f aca="false">IF(IFERROR(INDEX(tsk_Name,(ROW()-ROW(MSPTasks[[#Headers],[ID]])))="",TRUE()),"",INDEX(tsk_FcStart,(ROW()-ROW(MSPTasks[[#Headers],[ID]]))))</f>
        <v/>
      </c>
      <c r="H126" s="126"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IF(IFERROR(INDEX(tsk_Name,(ROW()-ROW(MSPTasks[[#Headers],[ID]])))="",TRUE()),"",INDEX(tsk_ResourceNames,(ROW()-ROW(MSPTasks[[#Headers],[ID]])))&amp;"")</f>
        <v/>
      </c>
      <c r="L126" s="24" t="str">
        <f aca="false">IF(IFERROR(INDEX(tsk_Name,(ROW()-ROW(MSPTasks[[#Headers],[ID]])))="",TRUE()),"",IF(INDEX(tsk_IsSummary,(ROW()-ROW(MSPTasks[[#Headers],[ID]]))),"",ROUND(INDEX(tsk_Progress,(ROW()-ROW(MSPTasks[[#Headers],[ID]])))*100,0)))</f>
        <v/>
      </c>
      <c r="M126" s="126" t="str">
        <f aca="false">IF(IFERROR(INDEX(tsk_Name,(ROW()-ROW(MSPTasks[[#Headers],[ID]])))="",TRUE()),"",IF(N(INDEX(tsk_ActStart,(ROW()-ROW(MSPTasks[[#Headers],[ID]]))))=0,"",INDEX(tsk_ActStart,(ROW()-ROW(MSPTasks[[#Headers],[ID]])))))</f>
        <v/>
      </c>
      <c r="N126" s="126" t="str">
        <f aca="false">IF(IFERROR(INDEX(tsk_Name,(ROW()-ROW(MSPTasks[[#Headers],[ID]])))="",TRUE()),"",IF(N(INDEX(tsk_ActFinish,(ROW()-ROW(MSPTasks[[#Headers],[ID]]))))=0,"",INDEX(tsk_ActFinish,(ROW()-ROW(MSPTasks[[#Headers],[ID]])))))</f>
        <v/>
      </c>
      <c r="O126" s="126" t="str">
        <f aca="false">IF(IFERROR(INDEX(tsk_Name,(ROW()-ROW(MSPTasks[[#Headers],[ID]])))="",TRUE()),"",INDEX(tsk_PlanStart,(ROW()-ROW(MSPTasks[[#Headers],[ID]]))))</f>
        <v/>
      </c>
      <c r="P126" s="126"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6" s="126" t="str">
        <f aca="false">IF(IFERROR(INDEX(tsk_Name,(ROW()-ROW(MSPTasks[[#Headers],[ID]])))="",TRUE()),"",IF(OR(INDEX(tsk_IsSummary,(ROW()-ROW(MSPTasks[[#Headers],[ID]]))),INDEX(tsk_Mode,(ROW()-ROW(MSPTasks[[#Headers],[ID]])))="Manual"),"",IF(N(INDEX(tsk_ConstraintCode,(ROW()-ROW(MSPTasks[[#Headers],[ID]]))))&lt;2,"",INDEX(tsk_Constraint,(ROW()-ROW(MSPTasks[[#Headers],[ID]]))))))</f>
        <v/>
      </c>
      <c r="W126" s="126"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6" t="str">
        <f aca="false">IF(IFERROR(INDEX(tsk_Name,(ROW()-ROW(MSPTasks[[#Headers],[ID]])))="",TRUE()),"",INDEX(tsk_FcStart,(ROW()-ROW(MSPTasks[[#Headers],[ID]]))))</f>
        <v/>
      </c>
      <c r="H127" s="126"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IF(IFERROR(INDEX(tsk_Name,(ROW()-ROW(MSPTasks[[#Headers],[ID]])))="",TRUE()),"",INDEX(tsk_ResourceNames,(ROW()-ROW(MSPTasks[[#Headers],[ID]])))&amp;"")</f>
        <v/>
      </c>
      <c r="L127" s="24" t="str">
        <f aca="false">IF(IFERROR(INDEX(tsk_Name,(ROW()-ROW(MSPTasks[[#Headers],[ID]])))="",TRUE()),"",IF(INDEX(tsk_IsSummary,(ROW()-ROW(MSPTasks[[#Headers],[ID]]))),"",ROUND(INDEX(tsk_Progress,(ROW()-ROW(MSPTasks[[#Headers],[ID]])))*100,0)))</f>
        <v/>
      </c>
      <c r="M127" s="126" t="str">
        <f aca="false">IF(IFERROR(INDEX(tsk_Name,(ROW()-ROW(MSPTasks[[#Headers],[ID]])))="",TRUE()),"",IF(N(INDEX(tsk_ActStart,(ROW()-ROW(MSPTasks[[#Headers],[ID]]))))=0,"",INDEX(tsk_ActStart,(ROW()-ROW(MSPTasks[[#Headers],[ID]])))))</f>
        <v/>
      </c>
      <c r="N127" s="126" t="str">
        <f aca="false">IF(IFERROR(INDEX(tsk_Name,(ROW()-ROW(MSPTasks[[#Headers],[ID]])))="",TRUE()),"",IF(N(INDEX(tsk_ActFinish,(ROW()-ROW(MSPTasks[[#Headers],[ID]]))))=0,"",INDEX(tsk_ActFinish,(ROW()-ROW(MSPTasks[[#Headers],[ID]])))))</f>
        <v/>
      </c>
      <c r="O127" s="126" t="str">
        <f aca="false">IF(IFERROR(INDEX(tsk_Name,(ROW()-ROW(MSPTasks[[#Headers],[ID]])))="",TRUE()),"",INDEX(tsk_PlanStart,(ROW()-ROW(MSPTasks[[#Headers],[ID]]))))</f>
        <v/>
      </c>
      <c r="P127" s="126"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7" s="126" t="str">
        <f aca="false">IF(IFERROR(INDEX(tsk_Name,(ROW()-ROW(MSPTasks[[#Headers],[ID]])))="",TRUE()),"",IF(OR(INDEX(tsk_IsSummary,(ROW()-ROW(MSPTasks[[#Headers],[ID]]))),INDEX(tsk_Mode,(ROW()-ROW(MSPTasks[[#Headers],[ID]])))="Manual"),"",IF(N(INDEX(tsk_ConstraintCode,(ROW()-ROW(MSPTasks[[#Headers],[ID]]))))&lt;2,"",INDEX(tsk_Constraint,(ROW()-ROW(MSPTasks[[#Headers],[ID]]))))))</f>
        <v/>
      </c>
      <c r="W127" s="126"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6" t="str">
        <f aca="false">IF(IFERROR(INDEX(tsk_Name,(ROW()-ROW(MSPTasks[[#Headers],[ID]])))="",TRUE()),"",INDEX(tsk_FcStart,(ROW()-ROW(MSPTasks[[#Headers],[ID]]))))</f>
        <v/>
      </c>
      <c r="H128" s="126"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IF(IFERROR(INDEX(tsk_Name,(ROW()-ROW(MSPTasks[[#Headers],[ID]])))="",TRUE()),"",INDEX(tsk_ResourceNames,(ROW()-ROW(MSPTasks[[#Headers],[ID]])))&amp;"")</f>
        <v/>
      </c>
      <c r="L128" s="24" t="str">
        <f aca="false">IF(IFERROR(INDEX(tsk_Name,(ROW()-ROW(MSPTasks[[#Headers],[ID]])))="",TRUE()),"",IF(INDEX(tsk_IsSummary,(ROW()-ROW(MSPTasks[[#Headers],[ID]]))),"",ROUND(INDEX(tsk_Progress,(ROW()-ROW(MSPTasks[[#Headers],[ID]])))*100,0)))</f>
        <v/>
      </c>
      <c r="M128" s="126" t="str">
        <f aca="false">IF(IFERROR(INDEX(tsk_Name,(ROW()-ROW(MSPTasks[[#Headers],[ID]])))="",TRUE()),"",IF(N(INDEX(tsk_ActStart,(ROW()-ROW(MSPTasks[[#Headers],[ID]]))))=0,"",INDEX(tsk_ActStart,(ROW()-ROW(MSPTasks[[#Headers],[ID]])))))</f>
        <v/>
      </c>
      <c r="N128" s="126" t="str">
        <f aca="false">IF(IFERROR(INDEX(tsk_Name,(ROW()-ROW(MSPTasks[[#Headers],[ID]])))="",TRUE()),"",IF(N(INDEX(tsk_ActFinish,(ROW()-ROW(MSPTasks[[#Headers],[ID]]))))=0,"",INDEX(tsk_ActFinish,(ROW()-ROW(MSPTasks[[#Headers],[ID]])))))</f>
        <v/>
      </c>
      <c r="O128" s="126" t="str">
        <f aca="false">IF(IFERROR(INDEX(tsk_Name,(ROW()-ROW(MSPTasks[[#Headers],[ID]])))="",TRUE()),"",INDEX(tsk_PlanStart,(ROW()-ROW(MSPTasks[[#Headers],[ID]]))))</f>
        <v/>
      </c>
      <c r="P128" s="126"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8" s="126" t="str">
        <f aca="false">IF(IFERROR(INDEX(tsk_Name,(ROW()-ROW(MSPTasks[[#Headers],[ID]])))="",TRUE()),"",IF(OR(INDEX(tsk_IsSummary,(ROW()-ROW(MSPTasks[[#Headers],[ID]]))),INDEX(tsk_Mode,(ROW()-ROW(MSPTasks[[#Headers],[ID]])))="Manual"),"",IF(N(INDEX(tsk_ConstraintCode,(ROW()-ROW(MSPTasks[[#Headers],[ID]]))))&lt;2,"",INDEX(tsk_Constraint,(ROW()-ROW(MSPTasks[[#Headers],[ID]]))))))</f>
        <v/>
      </c>
      <c r="W128" s="126"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6" t="str">
        <f aca="false">IF(IFERROR(INDEX(tsk_Name,(ROW()-ROW(MSPTasks[[#Headers],[ID]])))="",TRUE()),"",INDEX(tsk_FcStart,(ROW()-ROW(MSPTasks[[#Headers],[ID]]))))</f>
        <v/>
      </c>
      <c r="H129" s="126"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IF(IFERROR(INDEX(tsk_Name,(ROW()-ROW(MSPTasks[[#Headers],[ID]])))="",TRUE()),"",INDEX(tsk_ResourceNames,(ROW()-ROW(MSPTasks[[#Headers],[ID]])))&amp;"")</f>
        <v/>
      </c>
      <c r="L129" s="24" t="str">
        <f aca="false">IF(IFERROR(INDEX(tsk_Name,(ROW()-ROW(MSPTasks[[#Headers],[ID]])))="",TRUE()),"",IF(INDEX(tsk_IsSummary,(ROW()-ROW(MSPTasks[[#Headers],[ID]]))),"",ROUND(INDEX(tsk_Progress,(ROW()-ROW(MSPTasks[[#Headers],[ID]])))*100,0)))</f>
        <v/>
      </c>
      <c r="M129" s="126" t="str">
        <f aca="false">IF(IFERROR(INDEX(tsk_Name,(ROW()-ROW(MSPTasks[[#Headers],[ID]])))="",TRUE()),"",IF(N(INDEX(tsk_ActStart,(ROW()-ROW(MSPTasks[[#Headers],[ID]]))))=0,"",INDEX(tsk_ActStart,(ROW()-ROW(MSPTasks[[#Headers],[ID]])))))</f>
        <v/>
      </c>
      <c r="N129" s="126" t="str">
        <f aca="false">IF(IFERROR(INDEX(tsk_Name,(ROW()-ROW(MSPTasks[[#Headers],[ID]])))="",TRUE()),"",IF(N(INDEX(tsk_ActFinish,(ROW()-ROW(MSPTasks[[#Headers],[ID]]))))=0,"",INDEX(tsk_ActFinish,(ROW()-ROW(MSPTasks[[#Headers],[ID]])))))</f>
        <v/>
      </c>
      <c r="O129" s="126" t="str">
        <f aca="false">IF(IFERROR(INDEX(tsk_Name,(ROW()-ROW(MSPTasks[[#Headers],[ID]])))="",TRUE()),"",INDEX(tsk_PlanStart,(ROW()-ROW(MSPTasks[[#Headers],[ID]]))))</f>
        <v/>
      </c>
      <c r="P129" s="126"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9" s="126" t="str">
        <f aca="false">IF(IFERROR(INDEX(tsk_Name,(ROW()-ROW(MSPTasks[[#Headers],[ID]])))="",TRUE()),"",IF(OR(INDEX(tsk_IsSummary,(ROW()-ROW(MSPTasks[[#Headers],[ID]]))),INDEX(tsk_Mode,(ROW()-ROW(MSPTasks[[#Headers],[ID]])))="Manual"),"",IF(N(INDEX(tsk_ConstraintCode,(ROW()-ROW(MSPTasks[[#Headers],[ID]]))))&lt;2,"",INDEX(tsk_Constraint,(ROW()-ROW(MSPTasks[[#Headers],[ID]]))))))</f>
        <v/>
      </c>
      <c r="W129" s="126"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6" t="str">
        <f aca="false">IF(IFERROR(INDEX(tsk_Name,(ROW()-ROW(MSPTasks[[#Headers],[ID]])))="",TRUE()),"",INDEX(tsk_FcStart,(ROW()-ROW(MSPTasks[[#Headers],[ID]]))))</f>
        <v/>
      </c>
      <c r="H130" s="126"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IF(IFERROR(INDEX(tsk_Name,(ROW()-ROW(MSPTasks[[#Headers],[ID]])))="",TRUE()),"",INDEX(tsk_ResourceNames,(ROW()-ROW(MSPTasks[[#Headers],[ID]])))&amp;"")</f>
        <v/>
      </c>
      <c r="L130" s="24" t="str">
        <f aca="false">IF(IFERROR(INDEX(tsk_Name,(ROW()-ROW(MSPTasks[[#Headers],[ID]])))="",TRUE()),"",IF(INDEX(tsk_IsSummary,(ROW()-ROW(MSPTasks[[#Headers],[ID]]))),"",ROUND(INDEX(tsk_Progress,(ROW()-ROW(MSPTasks[[#Headers],[ID]])))*100,0)))</f>
        <v/>
      </c>
      <c r="M130" s="126" t="str">
        <f aca="false">IF(IFERROR(INDEX(tsk_Name,(ROW()-ROW(MSPTasks[[#Headers],[ID]])))="",TRUE()),"",IF(N(INDEX(tsk_ActStart,(ROW()-ROW(MSPTasks[[#Headers],[ID]]))))=0,"",INDEX(tsk_ActStart,(ROW()-ROW(MSPTasks[[#Headers],[ID]])))))</f>
        <v/>
      </c>
      <c r="N130" s="126" t="str">
        <f aca="false">IF(IFERROR(INDEX(tsk_Name,(ROW()-ROW(MSPTasks[[#Headers],[ID]])))="",TRUE()),"",IF(N(INDEX(tsk_ActFinish,(ROW()-ROW(MSPTasks[[#Headers],[ID]]))))=0,"",INDEX(tsk_ActFinish,(ROW()-ROW(MSPTasks[[#Headers],[ID]])))))</f>
        <v/>
      </c>
      <c r="O130" s="126" t="str">
        <f aca="false">IF(IFERROR(INDEX(tsk_Name,(ROW()-ROW(MSPTasks[[#Headers],[ID]])))="",TRUE()),"",INDEX(tsk_PlanStart,(ROW()-ROW(MSPTasks[[#Headers],[ID]]))))</f>
        <v/>
      </c>
      <c r="P130" s="126"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0" s="126" t="str">
        <f aca="false">IF(IFERROR(INDEX(tsk_Name,(ROW()-ROW(MSPTasks[[#Headers],[ID]])))="",TRUE()),"",IF(OR(INDEX(tsk_IsSummary,(ROW()-ROW(MSPTasks[[#Headers],[ID]]))),INDEX(tsk_Mode,(ROW()-ROW(MSPTasks[[#Headers],[ID]])))="Manual"),"",IF(N(INDEX(tsk_ConstraintCode,(ROW()-ROW(MSPTasks[[#Headers],[ID]]))))&lt;2,"",INDEX(tsk_Constraint,(ROW()-ROW(MSPTasks[[#Headers],[ID]]))))))</f>
        <v/>
      </c>
      <c r="W130" s="126"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6" t="str">
        <f aca="false">IF(IFERROR(INDEX(tsk_Name,(ROW()-ROW(MSPTasks[[#Headers],[ID]])))="",TRUE()),"",INDEX(tsk_FcStart,(ROW()-ROW(MSPTasks[[#Headers],[ID]]))))</f>
        <v/>
      </c>
      <c r="H131" s="126"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IF(IFERROR(INDEX(tsk_Name,(ROW()-ROW(MSPTasks[[#Headers],[ID]])))="",TRUE()),"",INDEX(tsk_ResourceNames,(ROW()-ROW(MSPTasks[[#Headers],[ID]])))&amp;"")</f>
        <v/>
      </c>
      <c r="L131" s="24" t="str">
        <f aca="false">IF(IFERROR(INDEX(tsk_Name,(ROW()-ROW(MSPTasks[[#Headers],[ID]])))="",TRUE()),"",IF(INDEX(tsk_IsSummary,(ROW()-ROW(MSPTasks[[#Headers],[ID]]))),"",ROUND(INDEX(tsk_Progress,(ROW()-ROW(MSPTasks[[#Headers],[ID]])))*100,0)))</f>
        <v/>
      </c>
      <c r="M131" s="126" t="str">
        <f aca="false">IF(IFERROR(INDEX(tsk_Name,(ROW()-ROW(MSPTasks[[#Headers],[ID]])))="",TRUE()),"",IF(N(INDEX(tsk_ActStart,(ROW()-ROW(MSPTasks[[#Headers],[ID]]))))=0,"",INDEX(tsk_ActStart,(ROW()-ROW(MSPTasks[[#Headers],[ID]])))))</f>
        <v/>
      </c>
      <c r="N131" s="126" t="str">
        <f aca="false">IF(IFERROR(INDEX(tsk_Name,(ROW()-ROW(MSPTasks[[#Headers],[ID]])))="",TRUE()),"",IF(N(INDEX(tsk_ActFinish,(ROW()-ROW(MSPTasks[[#Headers],[ID]]))))=0,"",INDEX(tsk_ActFinish,(ROW()-ROW(MSPTasks[[#Headers],[ID]])))))</f>
        <v/>
      </c>
      <c r="O131" s="126" t="str">
        <f aca="false">IF(IFERROR(INDEX(tsk_Name,(ROW()-ROW(MSPTasks[[#Headers],[ID]])))="",TRUE()),"",INDEX(tsk_PlanStart,(ROW()-ROW(MSPTasks[[#Headers],[ID]]))))</f>
        <v/>
      </c>
      <c r="P131" s="126"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1" s="126" t="str">
        <f aca="false">IF(IFERROR(INDEX(tsk_Name,(ROW()-ROW(MSPTasks[[#Headers],[ID]])))="",TRUE()),"",IF(OR(INDEX(tsk_IsSummary,(ROW()-ROW(MSPTasks[[#Headers],[ID]]))),INDEX(tsk_Mode,(ROW()-ROW(MSPTasks[[#Headers],[ID]])))="Manual"),"",IF(N(INDEX(tsk_ConstraintCode,(ROW()-ROW(MSPTasks[[#Headers],[ID]]))))&lt;2,"",INDEX(tsk_Constraint,(ROW()-ROW(MSPTasks[[#Headers],[ID]]))))))</f>
        <v/>
      </c>
      <c r="W131" s="126"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6" t="str">
        <f aca="false">IF(IFERROR(INDEX(tsk_Name,(ROW()-ROW(MSPTasks[[#Headers],[ID]])))="",TRUE()),"",INDEX(tsk_FcStart,(ROW()-ROW(MSPTasks[[#Headers],[ID]]))))</f>
        <v/>
      </c>
      <c r="H132" s="126"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IF(IFERROR(INDEX(tsk_Name,(ROW()-ROW(MSPTasks[[#Headers],[ID]])))="",TRUE()),"",INDEX(tsk_ResourceNames,(ROW()-ROW(MSPTasks[[#Headers],[ID]])))&amp;"")</f>
        <v/>
      </c>
      <c r="L132" s="24" t="str">
        <f aca="false">IF(IFERROR(INDEX(tsk_Name,(ROW()-ROW(MSPTasks[[#Headers],[ID]])))="",TRUE()),"",IF(INDEX(tsk_IsSummary,(ROW()-ROW(MSPTasks[[#Headers],[ID]]))),"",ROUND(INDEX(tsk_Progress,(ROW()-ROW(MSPTasks[[#Headers],[ID]])))*100,0)))</f>
        <v/>
      </c>
      <c r="M132" s="126" t="str">
        <f aca="false">IF(IFERROR(INDEX(tsk_Name,(ROW()-ROW(MSPTasks[[#Headers],[ID]])))="",TRUE()),"",IF(N(INDEX(tsk_ActStart,(ROW()-ROW(MSPTasks[[#Headers],[ID]]))))=0,"",INDEX(tsk_ActStart,(ROW()-ROW(MSPTasks[[#Headers],[ID]])))))</f>
        <v/>
      </c>
      <c r="N132" s="126" t="str">
        <f aca="false">IF(IFERROR(INDEX(tsk_Name,(ROW()-ROW(MSPTasks[[#Headers],[ID]])))="",TRUE()),"",IF(N(INDEX(tsk_ActFinish,(ROW()-ROW(MSPTasks[[#Headers],[ID]]))))=0,"",INDEX(tsk_ActFinish,(ROW()-ROW(MSPTasks[[#Headers],[ID]])))))</f>
        <v/>
      </c>
      <c r="O132" s="126" t="str">
        <f aca="false">IF(IFERROR(INDEX(tsk_Name,(ROW()-ROW(MSPTasks[[#Headers],[ID]])))="",TRUE()),"",INDEX(tsk_PlanStart,(ROW()-ROW(MSPTasks[[#Headers],[ID]]))))</f>
        <v/>
      </c>
      <c r="P132" s="126"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2" s="126" t="str">
        <f aca="false">IF(IFERROR(INDEX(tsk_Name,(ROW()-ROW(MSPTasks[[#Headers],[ID]])))="",TRUE()),"",IF(OR(INDEX(tsk_IsSummary,(ROW()-ROW(MSPTasks[[#Headers],[ID]]))),INDEX(tsk_Mode,(ROW()-ROW(MSPTasks[[#Headers],[ID]])))="Manual"),"",IF(N(INDEX(tsk_ConstraintCode,(ROW()-ROW(MSPTasks[[#Headers],[ID]]))))&lt;2,"",INDEX(tsk_Constraint,(ROW()-ROW(MSPTasks[[#Headers],[ID]]))))))</f>
        <v/>
      </c>
      <c r="W132" s="126"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6" t="str">
        <f aca="false">IF(IFERROR(INDEX(tsk_Name,(ROW()-ROW(MSPTasks[[#Headers],[ID]])))="",TRUE()),"",INDEX(tsk_FcStart,(ROW()-ROW(MSPTasks[[#Headers],[ID]]))))</f>
        <v/>
      </c>
      <c r="H133" s="126"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IF(IFERROR(INDEX(tsk_Name,(ROW()-ROW(MSPTasks[[#Headers],[ID]])))="",TRUE()),"",INDEX(tsk_ResourceNames,(ROW()-ROW(MSPTasks[[#Headers],[ID]])))&amp;"")</f>
        <v/>
      </c>
      <c r="L133" s="24" t="str">
        <f aca="false">IF(IFERROR(INDEX(tsk_Name,(ROW()-ROW(MSPTasks[[#Headers],[ID]])))="",TRUE()),"",IF(INDEX(tsk_IsSummary,(ROW()-ROW(MSPTasks[[#Headers],[ID]]))),"",ROUND(INDEX(tsk_Progress,(ROW()-ROW(MSPTasks[[#Headers],[ID]])))*100,0)))</f>
        <v/>
      </c>
      <c r="M133" s="126" t="str">
        <f aca="false">IF(IFERROR(INDEX(tsk_Name,(ROW()-ROW(MSPTasks[[#Headers],[ID]])))="",TRUE()),"",IF(N(INDEX(tsk_ActStart,(ROW()-ROW(MSPTasks[[#Headers],[ID]]))))=0,"",INDEX(tsk_ActStart,(ROW()-ROW(MSPTasks[[#Headers],[ID]])))))</f>
        <v/>
      </c>
      <c r="N133" s="126" t="str">
        <f aca="false">IF(IFERROR(INDEX(tsk_Name,(ROW()-ROW(MSPTasks[[#Headers],[ID]])))="",TRUE()),"",IF(N(INDEX(tsk_ActFinish,(ROW()-ROW(MSPTasks[[#Headers],[ID]]))))=0,"",INDEX(tsk_ActFinish,(ROW()-ROW(MSPTasks[[#Headers],[ID]])))))</f>
        <v/>
      </c>
      <c r="O133" s="126" t="str">
        <f aca="false">IF(IFERROR(INDEX(tsk_Name,(ROW()-ROW(MSPTasks[[#Headers],[ID]])))="",TRUE()),"",INDEX(tsk_PlanStart,(ROW()-ROW(MSPTasks[[#Headers],[ID]]))))</f>
        <v/>
      </c>
      <c r="P133" s="126"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3" s="126" t="str">
        <f aca="false">IF(IFERROR(INDEX(tsk_Name,(ROW()-ROW(MSPTasks[[#Headers],[ID]])))="",TRUE()),"",IF(OR(INDEX(tsk_IsSummary,(ROW()-ROW(MSPTasks[[#Headers],[ID]]))),INDEX(tsk_Mode,(ROW()-ROW(MSPTasks[[#Headers],[ID]])))="Manual"),"",IF(N(INDEX(tsk_ConstraintCode,(ROW()-ROW(MSPTasks[[#Headers],[ID]]))))&lt;2,"",INDEX(tsk_Constraint,(ROW()-ROW(MSPTasks[[#Headers],[ID]]))))))</f>
        <v/>
      </c>
      <c r="W133" s="126"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6" t="str">
        <f aca="false">IF(IFERROR(INDEX(tsk_Name,(ROW()-ROW(MSPTasks[[#Headers],[ID]])))="",TRUE()),"",INDEX(tsk_FcStart,(ROW()-ROW(MSPTasks[[#Headers],[ID]]))))</f>
        <v/>
      </c>
      <c r="H134" s="126"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IF(IFERROR(INDEX(tsk_Name,(ROW()-ROW(MSPTasks[[#Headers],[ID]])))="",TRUE()),"",INDEX(tsk_ResourceNames,(ROW()-ROW(MSPTasks[[#Headers],[ID]])))&amp;"")</f>
        <v/>
      </c>
      <c r="L134" s="24" t="str">
        <f aca="false">IF(IFERROR(INDEX(tsk_Name,(ROW()-ROW(MSPTasks[[#Headers],[ID]])))="",TRUE()),"",IF(INDEX(tsk_IsSummary,(ROW()-ROW(MSPTasks[[#Headers],[ID]]))),"",ROUND(INDEX(tsk_Progress,(ROW()-ROW(MSPTasks[[#Headers],[ID]])))*100,0)))</f>
        <v/>
      </c>
      <c r="M134" s="126" t="str">
        <f aca="false">IF(IFERROR(INDEX(tsk_Name,(ROW()-ROW(MSPTasks[[#Headers],[ID]])))="",TRUE()),"",IF(N(INDEX(tsk_ActStart,(ROW()-ROW(MSPTasks[[#Headers],[ID]]))))=0,"",INDEX(tsk_ActStart,(ROW()-ROW(MSPTasks[[#Headers],[ID]])))))</f>
        <v/>
      </c>
      <c r="N134" s="126" t="str">
        <f aca="false">IF(IFERROR(INDEX(tsk_Name,(ROW()-ROW(MSPTasks[[#Headers],[ID]])))="",TRUE()),"",IF(N(INDEX(tsk_ActFinish,(ROW()-ROW(MSPTasks[[#Headers],[ID]]))))=0,"",INDEX(tsk_ActFinish,(ROW()-ROW(MSPTasks[[#Headers],[ID]])))))</f>
        <v/>
      </c>
      <c r="O134" s="126" t="str">
        <f aca="false">IF(IFERROR(INDEX(tsk_Name,(ROW()-ROW(MSPTasks[[#Headers],[ID]])))="",TRUE()),"",INDEX(tsk_PlanStart,(ROW()-ROW(MSPTasks[[#Headers],[ID]]))))</f>
        <v/>
      </c>
      <c r="P134" s="126"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4" s="126" t="str">
        <f aca="false">IF(IFERROR(INDEX(tsk_Name,(ROW()-ROW(MSPTasks[[#Headers],[ID]])))="",TRUE()),"",IF(OR(INDEX(tsk_IsSummary,(ROW()-ROW(MSPTasks[[#Headers],[ID]]))),INDEX(tsk_Mode,(ROW()-ROW(MSPTasks[[#Headers],[ID]])))="Manual"),"",IF(N(INDEX(tsk_ConstraintCode,(ROW()-ROW(MSPTasks[[#Headers],[ID]]))))&lt;2,"",INDEX(tsk_Constraint,(ROW()-ROW(MSPTasks[[#Headers],[ID]]))))))</f>
        <v/>
      </c>
      <c r="W134" s="126"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6" t="str">
        <f aca="false">IF(IFERROR(INDEX(tsk_Name,(ROW()-ROW(MSPTasks[[#Headers],[ID]])))="",TRUE()),"",INDEX(tsk_FcStart,(ROW()-ROW(MSPTasks[[#Headers],[ID]]))))</f>
        <v/>
      </c>
      <c r="H135" s="126"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IF(IFERROR(INDEX(tsk_Name,(ROW()-ROW(MSPTasks[[#Headers],[ID]])))="",TRUE()),"",INDEX(tsk_ResourceNames,(ROW()-ROW(MSPTasks[[#Headers],[ID]])))&amp;"")</f>
        <v/>
      </c>
      <c r="L135" s="24" t="str">
        <f aca="false">IF(IFERROR(INDEX(tsk_Name,(ROW()-ROW(MSPTasks[[#Headers],[ID]])))="",TRUE()),"",IF(INDEX(tsk_IsSummary,(ROW()-ROW(MSPTasks[[#Headers],[ID]]))),"",ROUND(INDEX(tsk_Progress,(ROW()-ROW(MSPTasks[[#Headers],[ID]])))*100,0)))</f>
        <v/>
      </c>
      <c r="M135" s="126" t="str">
        <f aca="false">IF(IFERROR(INDEX(tsk_Name,(ROW()-ROW(MSPTasks[[#Headers],[ID]])))="",TRUE()),"",IF(N(INDEX(tsk_ActStart,(ROW()-ROW(MSPTasks[[#Headers],[ID]]))))=0,"",INDEX(tsk_ActStart,(ROW()-ROW(MSPTasks[[#Headers],[ID]])))))</f>
        <v/>
      </c>
      <c r="N135" s="126" t="str">
        <f aca="false">IF(IFERROR(INDEX(tsk_Name,(ROW()-ROW(MSPTasks[[#Headers],[ID]])))="",TRUE()),"",IF(N(INDEX(tsk_ActFinish,(ROW()-ROW(MSPTasks[[#Headers],[ID]]))))=0,"",INDEX(tsk_ActFinish,(ROW()-ROW(MSPTasks[[#Headers],[ID]])))))</f>
        <v/>
      </c>
      <c r="O135" s="126" t="str">
        <f aca="false">IF(IFERROR(INDEX(tsk_Name,(ROW()-ROW(MSPTasks[[#Headers],[ID]])))="",TRUE()),"",INDEX(tsk_PlanStart,(ROW()-ROW(MSPTasks[[#Headers],[ID]]))))</f>
        <v/>
      </c>
      <c r="P135" s="126"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5" s="126" t="str">
        <f aca="false">IF(IFERROR(INDEX(tsk_Name,(ROW()-ROW(MSPTasks[[#Headers],[ID]])))="",TRUE()),"",IF(OR(INDEX(tsk_IsSummary,(ROW()-ROW(MSPTasks[[#Headers],[ID]]))),INDEX(tsk_Mode,(ROW()-ROW(MSPTasks[[#Headers],[ID]])))="Manual"),"",IF(N(INDEX(tsk_ConstraintCode,(ROW()-ROW(MSPTasks[[#Headers],[ID]]))))&lt;2,"",INDEX(tsk_Constraint,(ROW()-ROW(MSPTasks[[#Headers],[ID]]))))))</f>
        <v/>
      </c>
      <c r="W135" s="126"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6" t="str">
        <f aca="false">IF(IFERROR(INDEX(tsk_Name,(ROW()-ROW(MSPTasks[[#Headers],[ID]])))="",TRUE()),"",INDEX(tsk_FcStart,(ROW()-ROW(MSPTasks[[#Headers],[ID]]))))</f>
        <v/>
      </c>
      <c r="H136" s="126"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IF(IFERROR(INDEX(tsk_Name,(ROW()-ROW(MSPTasks[[#Headers],[ID]])))="",TRUE()),"",INDEX(tsk_ResourceNames,(ROW()-ROW(MSPTasks[[#Headers],[ID]])))&amp;"")</f>
        <v/>
      </c>
      <c r="L136" s="24" t="str">
        <f aca="false">IF(IFERROR(INDEX(tsk_Name,(ROW()-ROW(MSPTasks[[#Headers],[ID]])))="",TRUE()),"",IF(INDEX(tsk_IsSummary,(ROW()-ROW(MSPTasks[[#Headers],[ID]]))),"",ROUND(INDEX(tsk_Progress,(ROW()-ROW(MSPTasks[[#Headers],[ID]])))*100,0)))</f>
        <v/>
      </c>
      <c r="M136" s="126" t="str">
        <f aca="false">IF(IFERROR(INDEX(tsk_Name,(ROW()-ROW(MSPTasks[[#Headers],[ID]])))="",TRUE()),"",IF(N(INDEX(tsk_ActStart,(ROW()-ROW(MSPTasks[[#Headers],[ID]]))))=0,"",INDEX(tsk_ActStart,(ROW()-ROW(MSPTasks[[#Headers],[ID]])))))</f>
        <v/>
      </c>
      <c r="N136" s="126" t="str">
        <f aca="false">IF(IFERROR(INDEX(tsk_Name,(ROW()-ROW(MSPTasks[[#Headers],[ID]])))="",TRUE()),"",IF(N(INDEX(tsk_ActFinish,(ROW()-ROW(MSPTasks[[#Headers],[ID]]))))=0,"",INDEX(tsk_ActFinish,(ROW()-ROW(MSPTasks[[#Headers],[ID]])))))</f>
        <v/>
      </c>
      <c r="O136" s="126" t="str">
        <f aca="false">IF(IFERROR(INDEX(tsk_Name,(ROW()-ROW(MSPTasks[[#Headers],[ID]])))="",TRUE()),"",INDEX(tsk_PlanStart,(ROW()-ROW(MSPTasks[[#Headers],[ID]]))))</f>
        <v/>
      </c>
      <c r="P136" s="126"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6" s="126" t="str">
        <f aca="false">IF(IFERROR(INDEX(tsk_Name,(ROW()-ROW(MSPTasks[[#Headers],[ID]])))="",TRUE()),"",IF(OR(INDEX(tsk_IsSummary,(ROW()-ROW(MSPTasks[[#Headers],[ID]]))),INDEX(tsk_Mode,(ROW()-ROW(MSPTasks[[#Headers],[ID]])))="Manual"),"",IF(N(INDEX(tsk_ConstraintCode,(ROW()-ROW(MSPTasks[[#Headers],[ID]]))))&lt;2,"",INDEX(tsk_Constraint,(ROW()-ROW(MSPTasks[[#Headers],[ID]]))))))</f>
        <v/>
      </c>
      <c r="W136" s="126"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6" t="str">
        <f aca="false">IF(IFERROR(INDEX(tsk_Name,(ROW()-ROW(MSPTasks[[#Headers],[ID]])))="",TRUE()),"",INDEX(tsk_FcStart,(ROW()-ROW(MSPTasks[[#Headers],[ID]]))))</f>
        <v/>
      </c>
      <c r="H137" s="126"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IF(IFERROR(INDEX(tsk_Name,(ROW()-ROW(MSPTasks[[#Headers],[ID]])))="",TRUE()),"",INDEX(tsk_ResourceNames,(ROW()-ROW(MSPTasks[[#Headers],[ID]])))&amp;"")</f>
        <v/>
      </c>
      <c r="L137" s="24" t="str">
        <f aca="false">IF(IFERROR(INDEX(tsk_Name,(ROW()-ROW(MSPTasks[[#Headers],[ID]])))="",TRUE()),"",IF(INDEX(tsk_IsSummary,(ROW()-ROW(MSPTasks[[#Headers],[ID]]))),"",ROUND(INDEX(tsk_Progress,(ROW()-ROW(MSPTasks[[#Headers],[ID]])))*100,0)))</f>
        <v/>
      </c>
      <c r="M137" s="126" t="str">
        <f aca="false">IF(IFERROR(INDEX(tsk_Name,(ROW()-ROW(MSPTasks[[#Headers],[ID]])))="",TRUE()),"",IF(N(INDEX(tsk_ActStart,(ROW()-ROW(MSPTasks[[#Headers],[ID]]))))=0,"",INDEX(tsk_ActStart,(ROW()-ROW(MSPTasks[[#Headers],[ID]])))))</f>
        <v/>
      </c>
      <c r="N137" s="126" t="str">
        <f aca="false">IF(IFERROR(INDEX(tsk_Name,(ROW()-ROW(MSPTasks[[#Headers],[ID]])))="",TRUE()),"",IF(N(INDEX(tsk_ActFinish,(ROW()-ROW(MSPTasks[[#Headers],[ID]]))))=0,"",INDEX(tsk_ActFinish,(ROW()-ROW(MSPTasks[[#Headers],[ID]])))))</f>
        <v/>
      </c>
      <c r="O137" s="126" t="str">
        <f aca="false">IF(IFERROR(INDEX(tsk_Name,(ROW()-ROW(MSPTasks[[#Headers],[ID]])))="",TRUE()),"",INDEX(tsk_PlanStart,(ROW()-ROW(MSPTasks[[#Headers],[ID]]))))</f>
        <v/>
      </c>
      <c r="P137" s="126"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7" s="126" t="str">
        <f aca="false">IF(IFERROR(INDEX(tsk_Name,(ROW()-ROW(MSPTasks[[#Headers],[ID]])))="",TRUE()),"",IF(OR(INDEX(tsk_IsSummary,(ROW()-ROW(MSPTasks[[#Headers],[ID]]))),INDEX(tsk_Mode,(ROW()-ROW(MSPTasks[[#Headers],[ID]])))="Manual"),"",IF(N(INDEX(tsk_ConstraintCode,(ROW()-ROW(MSPTasks[[#Headers],[ID]]))))&lt;2,"",INDEX(tsk_Constraint,(ROW()-ROW(MSPTasks[[#Headers],[ID]]))))))</f>
        <v/>
      </c>
      <c r="W137" s="126"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6" t="str">
        <f aca="false">IF(IFERROR(INDEX(tsk_Name,(ROW()-ROW(MSPTasks[[#Headers],[ID]])))="",TRUE()),"",INDEX(tsk_FcStart,(ROW()-ROW(MSPTasks[[#Headers],[ID]]))))</f>
        <v/>
      </c>
      <c r="H138" s="126"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IF(IFERROR(INDEX(tsk_Name,(ROW()-ROW(MSPTasks[[#Headers],[ID]])))="",TRUE()),"",INDEX(tsk_ResourceNames,(ROW()-ROW(MSPTasks[[#Headers],[ID]])))&amp;"")</f>
        <v/>
      </c>
      <c r="L138" s="24" t="str">
        <f aca="false">IF(IFERROR(INDEX(tsk_Name,(ROW()-ROW(MSPTasks[[#Headers],[ID]])))="",TRUE()),"",IF(INDEX(tsk_IsSummary,(ROW()-ROW(MSPTasks[[#Headers],[ID]]))),"",ROUND(INDEX(tsk_Progress,(ROW()-ROW(MSPTasks[[#Headers],[ID]])))*100,0)))</f>
        <v/>
      </c>
      <c r="M138" s="126" t="str">
        <f aca="false">IF(IFERROR(INDEX(tsk_Name,(ROW()-ROW(MSPTasks[[#Headers],[ID]])))="",TRUE()),"",IF(N(INDEX(tsk_ActStart,(ROW()-ROW(MSPTasks[[#Headers],[ID]]))))=0,"",INDEX(tsk_ActStart,(ROW()-ROW(MSPTasks[[#Headers],[ID]])))))</f>
        <v/>
      </c>
      <c r="N138" s="126" t="str">
        <f aca="false">IF(IFERROR(INDEX(tsk_Name,(ROW()-ROW(MSPTasks[[#Headers],[ID]])))="",TRUE()),"",IF(N(INDEX(tsk_ActFinish,(ROW()-ROW(MSPTasks[[#Headers],[ID]]))))=0,"",INDEX(tsk_ActFinish,(ROW()-ROW(MSPTasks[[#Headers],[ID]])))))</f>
        <v/>
      </c>
      <c r="O138" s="126" t="str">
        <f aca="false">IF(IFERROR(INDEX(tsk_Name,(ROW()-ROW(MSPTasks[[#Headers],[ID]])))="",TRUE()),"",INDEX(tsk_PlanStart,(ROW()-ROW(MSPTasks[[#Headers],[ID]]))))</f>
        <v/>
      </c>
      <c r="P138" s="126"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8" s="126" t="str">
        <f aca="false">IF(IFERROR(INDEX(tsk_Name,(ROW()-ROW(MSPTasks[[#Headers],[ID]])))="",TRUE()),"",IF(OR(INDEX(tsk_IsSummary,(ROW()-ROW(MSPTasks[[#Headers],[ID]]))),INDEX(tsk_Mode,(ROW()-ROW(MSPTasks[[#Headers],[ID]])))="Manual"),"",IF(N(INDEX(tsk_ConstraintCode,(ROW()-ROW(MSPTasks[[#Headers],[ID]]))))&lt;2,"",INDEX(tsk_Constraint,(ROW()-ROW(MSPTasks[[#Headers],[ID]]))))))</f>
        <v/>
      </c>
      <c r="W138" s="126"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6" t="str">
        <f aca="false">IF(IFERROR(INDEX(tsk_Name,(ROW()-ROW(MSPTasks[[#Headers],[ID]])))="",TRUE()),"",INDEX(tsk_FcStart,(ROW()-ROW(MSPTasks[[#Headers],[ID]]))))</f>
        <v/>
      </c>
      <c r="H139" s="126"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IF(IFERROR(INDEX(tsk_Name,(ROW()-ROW(MSPTasks[[#Headers],[ID]])))="",TRUE()),"",INDEX(tsk_ResourceNames,(ROW()-ROW(MSPTasks[[#Headers],[ID]])))&amp;"")</f>
        <v/>
      </c>
      <c r="L139" s="24" t="str">
        <f aca="false">IF(IFERROR(INDEX(tsk_Name,(ROW()-ROW(MSPTasks[[#Headers],[ID]])))="",TRUE()),"",IF(INDEX(tsk_IsSummary,(ROW()-ROW(MSPTasks[[#Headers],[ID]]))),"",ROUND(INDEX(tsk_Progress,(ROW()-ROW(MSPTasks[[#Headers],[ID]])))*100,0)))</f>
        <v/>
      </c>
      <c r="M139" s="126" t="str">
        <f aca="false">IF(IFERROR(INDEX(tsk_Name,(ROW()-ROW(MSPTasks[[#Headers],[ID]])))="",TRUE()),"",IF(N(INDEX(tsk_ActStart,(ROW()-ROW(MSPTasks[[#Headers],[ID]]))))=0,"",INDEX(tsk_ActStart,(ROW()-ROW(MSPTasks[[#Headers],[ID]])))))</f>
        <v/>
      </c>
      <c r="N139" s="126" t="str">
        <f aca="false">IF(IFERROR(INDEX(tsk_Name,(ROW()-ROW(MSPTasks[[#Headers],[ID]])))="",TRUE()),"",IF(N(INDEX(tsk_ActFinish,(ROW()-ROW(MSPTasks[[#Headers],[ID]]))))=0,"",INDEX(tsk_ActFinish,(ROW()-ROW(MSPTasks[[#Headers],[ID]])))))</f>
        <v/>
      </c>
      <c r="O139" s="126" t="str">
        <f aca="false">IF(IFERROR(INDEX(tsk_Name,(ROW()-ROW(MSPTasks[[#Headers],[ID]])))="",TRUE()),"",INDEX(tsk_PlanStart,(ROW()-ROW(MSPTasks[[#Headers],[ID]]))))</f>
        <v/>
      </c>
      <c r="P139" s="126"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9" s="126" t="str">
        <f aca="false">IF(IFERROR(INDEX(tsk_Name,(ROW()-ROW(MSPTasks[[#Headers],[ID]])))="",TRUE()),"",IF(OR(INDEX(tsk_IsSummary,(ROW()-ROW(MSPTasks[[#Headers],[ID]]))),INDEX(tsk_Mode,(ROW()-ROW(MSPTasks[[#Headers],[ID]])))="Manual"),"",IF(N(INDEX(tsk_ConstraintCode,(ROW()-ROW(MSPTasks[[#Headers],[ID]]))))&lt;2,"",INDEX(tsk_Constraint,(ROW()-ROW(MSPTasks[[#Headers],[ID]]))))))</f>
        <v/>
      </c>
      <c r="W139" s="126"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6" t="str">
        <f aca="false">IF(IFERROR(INDEX(tsk_Name,(ROW()-ROW(MSPTasks[[#Headers],[ID]])))="",TRUE()),"",INDEX(tsk_FcStart,(ROW()-ROW(MSPTasks[[#Headers],[ID]]))))</f>
        <v/>
      </c>
      <c r="H140" s="126"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IF(IFERROR(INDEX(tsk_Name,(ROW()-ROW(MSPTasks[[#Headers],[ID]])))="",TRUE()),"",INDEX(tsk_ResourceNames,(ROW()-ROW(MSPTasks[[#Headers],[ID]])))&amp;"")</f>
        <v/>
      </c>
      <c r="L140" s="24" t="str">
        <f aca="false">IF(IFERROR(INDEX(tsk_Name,(ROW()-ROW(MSPTasks[[#Headers],[ID]])))="",TRUE()),"",IF(INDEX(tsk_IsSummary,(ROW()-ROW(MSPTasks[[#Headers],[ID]]))),"",ROUND(INDEX(tsk_Progress,(ROW()-ROW(MSPTasks[[#Headers],[ID]])))*100,0)))</f>
        <v/>
      </c>
      <c r="M140" s="126" t="str">
        <f aca="false">IF(IFERROR(INDEX(tsk_Name,(ROW()-ROW(MSPTasks[[#Headers],[ID]])))="",TRUE()),"",IF(N(INDEX(tsk_ActStart,(ROW()-ROW(MSPTasks[[#Headers],[ID]]))))=0,"",INDEX(tsk_ActStart,(ROW()-ROW(MSPTasks[[#Headers],[ID]])))))</f>
        <v/>
      </c>
      <c r="N140" s="126" t="str">
        <f aca="false">IF(IFERROR(INDEX(tsk_Name,(ROW()-ROW(MSPTasks[[#Headers],[ID]])))="",TRUE()),"",IF(N(INDEX(tsk_ActFinish,(ROW()-ROW(MSPTasks[[#Headers],[ID]]))))=0,"",INDEX(tsk_ActFinish,(ROW()-ROW(MSPTasks[[#Headers],[ID]])))))</f>
        <v/>
      </c>
      <c r="O140" s="126" t="str">
        <f aca="false">IF(IFERROR(INDEX(tsk_Name,(ROW()-ROW(MSPTasks[[#Headers],[ID]])))="",TRUE()),"",INDEX(tsk_PlanStart,(ROW()-ROW(MSPTasks[[#Headers],[ID]]))))</f>
        <v/>
      </c>
      <c r="P140" s="126"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0" s="126" t="str">
        <f aca="false">IF(IFERROR(INDEX(tsk_Name,(ROW()-ROW(MSPTasks[[#Headers],[ID]])))="",TRUE()),"",IF(OR(INDEX(tsk_IsSummary,(ROW()-ROW(MSPTasks[[#Headers],[ID]]))),INDEX(tsk_Mode,(ROW()-ROW(MSPTasks[[#Headers],[ID]])))="Manual"),"",IF(N(INDEX(tsk_ConstraintCode,(ROW()-ROW(MSPTasks[[#Headers],[ID]]))))&lt;2,"",INDEX(tsk_Constraint,(ROW()-ROW(MSPTasks[[#Headers],[ID]]))))))</f>
        <v/>
      </c>
      <c r="W140" s="126"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6" t="str">
        <f aca="false">IF(IFERROR(INDEX(tsk_Name,(ROW()-ROW(MSPTasks[[#Headers],[ID]])))="",TRUE()),"",INDEX(tsk_FcStart,(ROW()-ROW(MSPTasks[[#Headers],[ID]]))))</f>
        <v/>
      </c>
      <c r="H141" s="126"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IF(IFERROR(INDEX(tsk_Name,(ROW()-ROW(MSPTasks[[#Headers],[ID]])))="",TRUE()),"",INDEX(tsk_ResourceNames,(ROW()-ROW(MSPTasks[[#Headers],[ID]])))&amp;"")</f>
        <v/>
      </c>
      <c r="L141" s="24" t="str">
        <f aca="false">IF(IFERROR(INDEX(tsk_Name,(ROW()-ROW(MSPTasks[[#Headers],[ID]])))="",TRUE()),"",IF(INDEX(tsk_IsSummary,(ROW()-ROW(MSPTasks[[#Headers],[ID]]))),"",ROUND(INDEX(tsk_Progress,(ROW()-ROW(MSPTasks[[#Headers],[ID]])))*100,0)))</f>
        <v/>
      </c>
      <c r="M141" s="126" t="str">
        <f aca="false">IF(IFERROR(INDEX(tsk_Name,(ROW()-ROW(MSPTasks[[#Headers],[ID]])))="",TRUE()),"",IF(N(INDEX(tsk_ActStart,(ROW()-ROW(MSPTasks[[#Headers],[ID]]))))=0,"",INDEX(tsk_ActStart,(ROW()-ROW(MSPTasks[[#Headers],[ID]])))))</f>
        <v/>
      </c>
      <c r="N141" s="126" t="str">
        <f aca="false">IF(IFERROR(INDEX(tsk_Name,(ROW()-ROW(MSPTasks[[#Headers],[ID]])))="",TRUE()),"",IF(N(INDEX(tsk_ActFinish,(ROW()-ROW(MSPTasks[[#Headers],[ID]]))))=0,"",INDEX(tsk_ActFinish,(ROW()-ROW(MSPTasks[[#Headers],[ID]])))))</f>
        <v/>
      </c>
      <c r="O141" s="126" t="str">
        <f aca="false">IF(IFERROR(INDEX(tsk_Name,(ROW()-ROW(MSPTasks[[#Headers],[ID]])))="",TRUE()),"",INDEX(tsk_PlanStart,(ROW()-ROW(MSPTasks[[#Headers],[ID]]))))</f>
        <v/>
      </c>
      <c r="P141" s="126"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1" s="126" t="str">
        <f aca="false">IF(IFERROR(INDEX(tsk_Name,(ROW()-ROW(MSPTasks[[#Headers],[ID]])))="",TRUE()),"",IF(OR(INDEX(tsk_IsSummary,(ROW()-ROW(MSPTasks[[#Headers],[ID]]))),INDEX(tsk_Mode,(ROW()-ROW(MSPTasks[[#Headers],[ID]])))="Manual"),"",IF(N(INDEX(tsk_ConstraintCode,(ROW()-ROW(MSPTasks[[#Headers],[ID]]))))&lt;2,"",INDEX(tsk_Constraint,(ROW()-ROW(MSPTasks[[#Headers],[ID]]))))))</f>
        <v/>
      </c>
      <c r="W141" s="126"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6" t="str">
        <f aca="false">IF(IFERROR(INDEX(tsk_Name,(ROW()-ROW(MSPTasks[[#Headers],[ID]])))="",TRUE()),"",INDEX(tsk_FcStart,(ROW()-ROW(MSPTasks[[#Headers],[ID]]))))</f>
        <v/>
      </c>
      <c r="H142" s="126"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IF(IFERROR(INDEX(tsk_Name,(ROW()-ROW(MSPTasks[[#Headers],[ID]])))="",TRUE()),"",INDEX(tsk_ResourceNames,(ROW()-ROW(MSPTasks[[#Headers],[ID]])))&amp;"")</f>
        <v/>
      </c>
      <c r="L142" s="24" t="str">
        <f aca="false">IF(IFERROR(INDEX(tsk_Name,(ROW()-ROW(MSPTasks[[#Headers],[ID]])))="",TRUE()),"",IF(INDEX(tsk_IsSummary,(ROW()-ROW(MSPTasks[[#Headers],[ID]]))),"",ROUND(INDEX(tsk_Progress,(ROW()-ROW(MSPTasks[[#Headers],[ID]])))*100,0)))</f>
        <v/>
      </c>
      <c r="M142" s="126" t="str">
        <f aca="false">IF(IFERROR(INDEX(tsk_Name,(ROW()-ROW(MSPTasks[[#Headers],[ID]])))="",TRUE()),"",IF(N(INDEX(tsk_ActStart,(ROW()-ROW(MSPTasks[[#Headers],[ID]]))))=0,"",INDEX(tsk_ActStart,(ROW()-ROW(MSPTasks[[#Headers],[ID]])))))</f>
        <v/>
      </c>
      <c r="N142" s="126" t="str">
        <f aca="false">IF(IFERROR(INDEX(tsk_Name,(ROW()-ROW(MSPTasks[[#Headers],[ID]])))="",TRUE()),"",IF(N(INDEX(tsk_ActFinish,(ROW()-ROW(MSPTasks[[#Headers],[ID]]))))=0,"",INDEX(tsk_ActFinish,(ROW()-ROW(MSPTasks[[#Headers],[ID]])))))</f>
        <v/>
      </c>
      <c r="O142" s="126" t="str">
        <f aca="false">IF(IFERROR(INDEX(tsk_Name,(ROW()-ROW(MSPTasks[[#Headers],[ID]])))="",TRUE()),"",INDEX(tsk_PlanStart,(ROW()-ROW(MSPTasks[[#Headers],[ID]]))))</f>
        <v/>
      </c>
      <c r="P142" s="126"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2" s="126" t="str">
        <f aca="false">IF(IFERROR(INDEX(tsk_Name,(ROW()-ROW(MSPTasks[[#Headers],[ID]])))="",TRUE()),"",IF(OR(INDEX(tsk_IsSummary,(ROW()-ROW(MSPTasks[[#Headers],[ID]]))),INDEX(tsk_Mode,(ROW()-ROW(MSPTasks[[#Headers],[ID]])))="Manual"),"",IF(N(INDEX(tsk_ConstraintCode,(ROW()-ROW(MSPTasks[[#Headers],[ID]]))))&lt;2,"",INDEX(tsk_Constraint,(ROW()-ROW(MSPTasks[[#Headers],[ID]]))))))</f>
        <v/>
      </c>
      <c r="W142" s="126"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6" t="str">
        <f aca="false">IF(IFERROR(INDEX(tsk_Name,(ROW()-ROW(MSPTasks[[#Headers],[ID]])))="",TRUE()),"",INDEX(tsk_FcStart,(ROW()-ROW(MSPTasks[[#Headers],[ID]]))))</f>
        <v/>
      </c>
      <c r="H143" s="126"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IF(IFERROR(INDEX(tsk_Name,(ROW()-ROW(MSPTasks[[#Headers],[ID]])))="",TRUE()),"",INDEX(tsk_ResourceNames,(ROW()-ROW(MSPTasks[[#Headers],[ID]])))&amp;"")</f>
        <v/>
      </c>
      <c r="L143" s="24" t="str">
        <f aca="false">IF(IFERROR(INDEX(tsk_Name,(ROW()-ROW(MSPTasks[[#Headers],[ID]])))="",TRUE()),"",IF(INDEX(tsk_IsSummary,(ROW()-ROW(MSPTasks[[#Headers],[ID]]))),"",ROUND(INDEX(tsk_Progress,(ROW()-ROW(MSPTasks[[#Headers],[ID]])))*100,0)))</f>
        <v/>
      </c>
      <c r="M143" s="126" t="str">
        <f aca="false">IF(IFERROR(INDEX(tsk_Name,(ROW()-ROW(MSPTasks[[#Headers],[ID]])))="",TRUE()),"",IF(N(INDEX(tsk_ActStart,(ROW()-ROW(MSPTasks[[#Headers],[ID]]))))=0,"",INDEX(tsk_ActStart,(ROW()-ROW(MSPTasks[[#Headers],[ID]])))))</f>
        <v/>
      </c>
      <c r="N143" s="126" t="str">
        <f aca="false">IF(IFERROR(INDEX(tsk_Name,(ROW()-ROW(MSPTasks[[#Headers],[ID]])))="",TRUE()),"",IF(N(INDEX(tsk_ActFinish,(ROW()-ROW(MSPTasks[[#Headers],[ID]]))))=0,"",INDEX(tsk_ActFinish,(ROW()-ROW(MSPTasks[[#Headers],[ID]])))))</f>
        <v/>
      </c>
      <c r="O143" s="126" t="str">
        <f aca="false">IF(IFERROR(INDEX(tsk_Name,(ROW()-ROW(MSPTasks[[#Headers],[ID]])))="",TRUE()),"",INDEX(tsk_PlanStart,(ROW()-ROW(MSPTasks[[#Headers],[ID]]))))</f>
        <v/>
      </c>
      <c r="P143" s="126"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3" s="126" t="str">
        <f aca="false">IF(IFERROR(INDEX(tsk_Name,(ROW()-ROW(MSPTasks[[#Headers],[ID]])))="",TRUE()),"",IF(OR(INDEX(tsk_IsSummary,(ROW()-ROW(MSPTasks[[#Headers],[ID]]))),INDEX(tsk_Mode,(ROW()-ROW(MSPTasks[[#Headers],[ID]])))="Manual"),"",IF(N(INDEX(tsk_ConstraintCode,(ROW()-ROW(MSPTasks[[#Headers],[ID]]))))&lt;2,"",INDEX(tsk_Constraint,(ROW()-ROW(MSPTasks[[#Headers],[ID]]))))))</f>
        <v/>
      </c>
      <c r="W143" s="126"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6" t="str">
        <f aca="false">IF(IFERROR(INDEX(tsk_Name,(ROW()-ROW(MSPTasks[[#Headers],[ID]])))="",TRUE()),"",INDEX(tsk_FcStart,(ROW()-ROW(MSPTasks[[#Headers],[ID]]))))</f>
        <v/>
      </c>
      <c r="H144" s="126"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IF(IFERROR(INDEX(tsk_Name,(ROW()-ROW(MSPTasks[[#Headers],[ID]])))="",TRUE()),"",INDEX(tsk_ResourceNames,(ROW()-ROW(MSPTasks[[#Headers],[ID]])))&amp;"")</f>
        <v/>
      </c>
      <c r="L144" s="24" t="str">
        <f aca="false">IF(IFERROR(INDEX(tsk_Name,(ROW()-ROW(MSPTasks[[#Headers],[ID]])))="",TRUE()),"",IF(INDEX(tsk_IsSummary,(ROW()-ROW(MSPTasks[[#Headers],[ID]]))),"",ROUND(INDEX(tsk_Progress,(ROW()-ROW(MSPTasks[[#Headers],[ID]])))*100,0)))</f>
        <v/>
      </c>
      <c r="M144" s="126" t="str">
        <f aca="false">IF(IFERROR(INDEX(tsk_Name,(ROW()-ROW(MSPTasks[[#Headers],[ID]])))="",TRUE()),"",IF(N(INDEX(tsk_ActStart,(ROW()-ROW(MSPTasks[[#Headers],[ID]]))))=0,"",INDEX(tsk_ActStart,(ROW()-ROW(MSPTasks[[#Headers],[ID]])))))</f>
        <v/>
      </c>
      <c r="N144" s="126" t="str">
        <f aca="false">IF(IFERROR(INDEX(tsk_Name,(ROW()-ROW(MSPTasks[[#Headers],[ID]])))="",TRUE()),"",IF(N(INDEX(tsk_ActFinish,(ROW()-ROW(MSPTasks[[#Headers],[ID]]))))=0,"",INDEX(tsk_ActFinish,(ROW()-ROW(MSPTasks[[#Headers],[ID]])))))</f>
        <v/>
      </c>
      <c r="O144" s="126" t="str">
        <f aca="false">IF(IFERROR(INDEX(tsk_Name,(ROW()-ROW(MSPTasks[[#Headers],[ID]])))="",TRUE()),"",INDEX(tsk_PlanStart,(ROW()-ROW(MSPTasks[[#Headers],[ID]]))))</f>
        <v/>
      </c>
      <c r="P144" s="126"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4" s="126" t="str">
        <f aca="false">IF(IFERROR(INDEX(tsk_Name,(ROW()-ROW(MSPTasks[[#Headers],[ID]])))="",TRUE()),"",IF(OR(INDEX(tsk_IsSummary,(ROW()-ROW(MSPTasks[[#Headers],[ID]]))),INDEX(tsk_Mode,(ROW()-ROW(MSPTasks[[#Headers],[ID]])))="Manual"),"",IF(N(INDEX(tsk_ConstraintCode,(ROW()-ROW(MSPTasks[[#Headers],[ID]]))))&lt;2,"",INDEX(tsk_Constraint,(ROW()-ROW(MSPTasks[[#Headers],[ID]]))))))</f>
        <v/>
      </c>
      <c r="W144" s="126"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6" t="str">
        <f aca="false">IF(IFERROR(INDEX(tsk_Name,(ROW()-ROW(MSPTasks[[#Headers],[ID]])))="",TRUE()),"",INDEX(tsk_FcStart,(ROW()-ROW(MSPTasks[[#Headers],[ID]]))))</f>
        <v/>
      </c>
      <c r="H145" s="126"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IF(IFERROR(INDEX(tsk_Name,(ROW()-ROW(MSPTasks[[#Headers],[ID]])))="",TRUE()),"",INDEX(tsk_ResourceNames,(ROW()-ROW(MSPTasks[[#Headers],[ID]])))&amp;"")</f>
        <v/>
      </c>
      <c r="L145" s="24" t="str">
        <f aca="false">IF(IFERROR(INDEX(tsk_Name,(ROW()-ROW(MSPTasks[[#Headers],[ID]])))="",TRUE()),"",IF(INDEX(tsk_IsSummary,(ROW()-ROW(MSPTasks[[#Headers],[ID]]))),"",ROUND(INDEX(tsk_Progress,(ROW()-ROW(MSPTasks[[#Headers],[ID]])))*100,0)))</f>
        <v/>
      </c>
      <c r="M145" s="126" t="str">
        <f aca="false">IF(IFERROR(INDEX(tsk_Name,(ROW()-ROW(MSPTasks[[#Headers],[ID]])))="",TRUE()),"",IF(N(INDEX(tsk_ActStart,(ROW()-ROW(MSPTasks[[#Headers],[ID]]))))=0,"",INDEX(tsk_ActStart,(ROW()-ROW(MSPTasks[[#Headers],[ID]])))))</f>
        <v/>
      </c>
      <c r="N145" s="126" t="str">
        <f aca="false">IF(IFERROR(INDEX(tsk_Name,(ROW()-ROW(MSPTasks[[#Headers],[ID]])))="",TRUE()),"",IF(N(INDEX(tsk_ActFinish,(ROW()-ROW(MSPTasks[[#Headers],[ID]]))))=0,"",INDEX(tsk_ActFinish,(ROW()-ROW(MSPTasks[[#Headers],[ID]])))))</f>
        <v/>
      </c>
      <c r="O145" s="126" t="str">
        <f aca="false">IF(IFERROR(INDEX(tsk_Name,(ROW()-ROW(MSPTasks[[#Headers],[ID]])))="",TRUE()),"",INDEX(tsk_PlanStart,(ROW()-ROW(MSPTasks[[#Headers],[ID]]))))</f>
        <v/>
      </c>
      <c r="P145" s="126"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5" s="126" t="str">
        <f aca="false">IF(IFERROR(INDEX(tsk_Name,(ROW()-ROW(MSPTasks[[#Headers],[ID]])))="",TRUE()),"",IF(OR(INDEX(tsk_IsSummary,(ROW()-ROW(MSPTasks[[#Headers],[ID]]))),INDEX(tsk_Mode,(ROW()-ROW(MSPTasks[[#Headers],[ID]])))="Manual"),"",IF(N(INDEX(tsk_ConstraintCode,(ROW()-ROW(MSPTasks[[#Headers],[ID]]))))&lt;2,"",INDEX(tsk_Constraint,(ROW()-ROW(MSPTasks[[#Headers],[ID]]))))))</f>
        <v/>
      </c>
      <c r="W145" s="126"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6" t="str">
        <f aca="false">IF(IFERROR(INDEX(tsk_Name,(ROW()-ROW(MSPTasks[[#Headers],[ID]])))="",TRUE()),"",INDEX(tsk_FcStart,(ROW()-ROW(MSPTasks[[#Headers],[ID]]))))</f>
        <v/>
      </c>
      <c r="H146" s="126"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IF(IFERROR(INDEX(tsk_Name,(ROW()-ROW(MSPTasks[[#Headers],[ID]])))="",TRUE()),"",INDEX(tsk_ResourceNames,(ROW()-ROW(MSPTasks[[#Headers],[ID]])))&amp;"")</f>
        <v/>
      </c>
      <c r="L146" s="24" t="str">
        <f aca="false">IF(IFERROR(INDEX(tsk_Name,(ROW()-ROW(MSPTasks[[#Headers],[ID]])))="",TRUE()),"",IF(INDEX(tsk_IsSummary,(ROW()-ROW(MSPTasks[[#Headers],[ID]]))),"",ROUND(INDEX(tsk_Progress,(ROW()-ROW(MSPTasks[[#Headers],[ID]])))*100,0)))</f>
        <v/>
      </c>
      <c r="M146" s="126" t="str">
        <f aca="false">IF(IFERROR(INDEX(tsk_Name,(ROW()-ROW(MSPTasks[[#Headers],[ID]])))="",TRUE()),"",IF(N(INDEX(tsk_ActStart,(ROW()-ROW(MSPTasks[[#Headers],[ID]]))))=0,"",INDEX(tsk_ActStart,(ROW()-ROW(MSPTasks[[#Headers],[ID]])))))</f>
        <v/>
      </c>
      <c r="N146" s="126" t="str">
        <f aca="false">IF(IFERROR(INDEX(tsk_Name,(ROW()-ROW(MSPTasks[[#Headers],[ID]])))="",TRUE()),"",IF(N(INDEX(tsk_ActFinish,(ROW()-ROW(MSPTasks[[#Headers],[ID]]))))=0,"",INDEX(tsk_ActFinish,(ROW()-ROW(MSPTasks[[#Headers],[ID]])))))</f>
        <v/>
      </c>
      <c r="O146" s="126" t="str">
        <f aca="false">IF(IFERROR(INDEX(tsk_Name,(ROW()-ROW(MSPTasks[[#Headers],[ID]])))="",TRUE()),"",INDEX(tsk_PlanStart,(ROW()-ROW(MSPTasks[[#Headers],[ID]]))))</f>
        <v/>
      </c>
      <c r="P146" s="126"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6" s="126" t="str">
        <f aca="false">IF(IFERROR(INDEX(tsk_Name,(ROW()-ROW(MSPTasks[[#Headers],[ID]])))="",TRUE()),"",IF(OR(INDEX(tsk_IsSummary,(ROW()-ROW(MSPTasks[[#Headers],[ID]]))),INDEX(tsk_Mode,(ROW()-ROW(MSPTasks[[#Headers],[ID]])))="Manual"),"",IF(N(INDEX(tsk_ConstraintCode,(ROW()-ROW(MSPTasks[[#Headers],[ID]]))))&lt;2,"",INDEX(tsk_Constraint,(ROW()-ROW(MSPTasks[[#Headers],[ID]]))))))</f>
        <v/>
      </c>
      <c r="W146" s="126"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6" t="str">
        <f aca="false">IF(IFERROR(INDEX(tsk_Name,(ROW()-ROW(MSPTasks[[#Headers],[ID]])))="",TRUE()),"",INDEX(tsk_FcStart,(ROW()-ROW(MSPTasks[[#Headers],[ID]]))))</f>
        <v/>
      </c>
      <c r="H147" s="126"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IF(IFERROR(INDEX(tsk_Name,(ROW()-ROW(MSPTasks[[#Headers],[ID]])))="",TRUE()),"",INDEX(tsk_ResourceNames,(ROW()-ROW(MSPTasks[[#Headers],[ID]])))&amp;"")</f>
        <v/>
      </c>
      <c r="L147" s="24" t="str">
        <f aca="false">IF(IFERROR(INDEX(tsk_Name,(ROW()-ROW(MSPTasks[[#Headers],[ID]])))="",TRUE()),"",IF(INDEX(tsk_IsSummary,(ROW()-ROW(MSPTasks[[#Headers],[ID]]))),"",ROUND(INDEX(tsk_Progress,(ROW()-ROW(MSPTasks[[#Headers],[ID]])))*100,0)))</f>
        <v/>
      </c>
      <c r="M147" s="126" t="str">
        <f aca="false">IF(IFERROR(INDEX(tsk_Name,(ROW()-ROW(MSPTasks[[#Headers],[ID]])))="",TRUE()),"",IF(N(INDEX(tsk_ActStart,(ROW()-ROW(MSPTasks[[#Headers],[ID]]))))=0,"",INDEX(tsk_ActStart,(ROW()-ROW(MSPTasks[[#Headers],[ID]])))))</f>
        <v/>
      </c>
      <c r="N147" s="126" t="str">
        <f aca="false">IF(IFERROR(INDEX(tsk_Name,(ROW()-ROW(MSPTasks[[#Headers],[ID]])))="",TRUE()),"",IF(N(INDEX(tsk_ActFinish,(ROW()-ROW(MSPTasks[[#Headers],[ID]]))))=0,"",INDEX(tsk_ActFinish,(ROW()-ROW(MSPTasks[[#Headers],[ID]])))))</f>
        <v/>
      </c>
      <c r="O147" s="126" t="str">
        <f aca="false">IF(IFERROR(INDEX(tsk_Name,(ROW()-ROW(MSPTasks[[#Headers],[ID]])))="",TRUE()),"",INDEX(tsk_PlanStart,(ROW()-ROW(MSPTasks[[#Headers],[ID]]))))</f>
        <v/>
      </c>
      <c r="P147" s="126"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7" s="126" t="str">
        <f aca="false">IF(IFERROR(INDEX(tsk_Name,(ROW()-ROW(MSPTasks[[#Headers],[ID]])))="",TRUE()),"",IF(OR(INDEX(tsk_IsSummary,(ROW()-ROW(MSPTasks[[#Headers],[ID]]))),INDEX(tsk_Mode,(ROW()-ROW(MSPTasks[[#Headers],[ID]])))="Manual"),"",IF(N(INDEX(tsk_ConstraintCode,(ROW()-ROW(MSPTasks[[#Headers],[ID]]))))&lt;2,"",INDEX(tsk_Constraint,(ROW()-ROW(MSPTasks[[#Headers],[ID]]))))))</f>
        <v/>
      </c>
      <c r="W147" s="126"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6" t="str">
        <f aca="false">IF(IFERROR(INDEX(tsk_Name,(ROW()-ROW(MSPTasks[[#Headers],[ID]])))="",TRUE()),"",INDEX(tsk_FcStart,(ROW()-ROW(MSPTasks[[#Headers],[ID]]))))</f>
        <v/>
      </c>
      <c r="H148" s="126"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IF(IFERROR(INDEX(tsk_Name,(ROW()-ROW(MSPTasks[[#Headers],[ID]])))="",TRUE()),"",INDEX(tsk_ResourceNames,(ROW()-ROW(MSPTasks[[#Headers],[ID]])))&amp;"")</f>
        <v/>
      </c>
      <c r="L148" s="24" t="str">
        <f aca="false">IF(IFERROR(INDEX(tsk_Name,(ROW()-ROW(MSPTasks[[#Headers],[ID]])))="",TRUE()),"",IF(INDEX(tsk_IsSummary,(ROW()-ROW(MSPTasks[[#Headers],[ID]]))),"",ROUND(INDEX(tsk_Progress,(ROW()-ROW(MSPTasks[[#Headers],[ID]])))*100,0)))</f>
        <v/>
      </c>
      <c r="M148" s="126" t="str">
        <f aca="false">IF(IFERROR(INDEX(tsk_Name,(ROW()-ROW(MSPTasks[[#Headers],[ID]])))="",TRUE()),"",IF(N(INDEX(tsk_ActStart,(ROW()-ROW(MSPTasks[[#Headers],[ID]]))))=0,"",INDEX(tsk_ActStart,(ROW()-ROW(MSPTasks[[#Headers],[ID]])))))</f>
        <v/>
      </c>
      <c r="N148" s="126" t="str">
        <f aca="false">IF(IFERROR(INDEX(tsk_Name,(ROW()-ROW(MSPTasks[[#Headers],[ID]])))="",TRUE()),"",IF(N(INDEX(tsk_ActFinish,(ROW()-ROW(MSPTasks[[#Headers],[ID]]))))=0,"",INDEX(tsk_ActFinish,(ROW()-ROW(MSPTasks[[#Headers],[ID]])))))</f>
        <v/>
      </c>
      <c r="O148" s="126" t="str">
        <f aca="false">IF(IFERROR(INDEX(tsk_Name,(ROW()-ROW(MSPTasks[[#Headers],[ID]])))="",TRUE()),"",INDEX(tsk_PlanStart,(ROW()-ROW(MSPTasks[[#Headers],[ID]]))))</f>
        <v/>
      </c>
      <c r="P148" s="126"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8" s="126" t="str">
        <f aca="false">IF(IFERROR(INDEX(tsk_Name,(ROW()-ROW(MSPTasks[[#Headers],[ID]])))="",TRUE()),"",IF(OR(INDEX(tsk_IsSummary,(ROW()-ROW(MSPTasks[[#Headers],[ID]]))),INDEX(tsk_Mode,(ROW()-ROW(MSPTasks[[#Headers],[ID]])))="Manual"),"",IF(N(INDEX(tsk_ConstraintCode,(ROW()-ROW(MSPTasks[[#Headers],[ID]]))))&lt;2,"",INDEX(tsk_Constraint,(ROW()-ROW(MSPTasks[[#Headers],[ID]]))))))</f>
        <v/>
      </c>
      <c r="W148" s="126"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6" t="str">
        <f aca="false">IF(IFERROR(INDEX(tsk_Name,(ROW()-ROW(MSPTasks[[#Headers],[ID]])))="",TRUE()),"",INDEX(tsk_FcStart,(ROW()-ROW(MSPTasks[[#Headers],[ID]]))))</f>
        <v/>
      </c>
      <c r="H149" s="126"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IF(IFERROR(INDEX(tsk_Name,(ROW()-ROW(MSPTasks[[#Headers],[ID]])))="",TRUE()),"",INDEX(tsk_ResourceNames,(ROW()-ROW(MSPTasks[[#Headers],[ID]])))&amp;"")</f>
        <v/>
      </c>
      <c r="L149" s="24" t="str">
        <f aca="false">IF(IFERROR(INDEX(tsk_Name,(ROW()-ROW(MSPTasks[[#Headers],[ID]])))="",TRUE()),"",IF(INDEX(tsk_IsSummary,(ROW()-ROW(MSPTasks[[#Headers],[ID]]))),"",ROUND(INDEX(tsk_Progress,(ROW()-ROW(MSPTasks[[#Headers],[ID]])))*100,0)))</f>
        <v/>
      </c>
      <c r="M149" s="126" t="str">
        <f aca="false">IF(IFERROR(INDEX(tsk_Name,(ROW()-ROW(MSPTasks[[#Headers],[ID]])))="",TRUE()),"",IF(N(INDEX(tsk_ActStart,(ROW()-ROW(MSPTasks[[#Headers],[ID]]))))=0,"",INDEX(tsk_ActStart,(ROW()-ROW(MSPTasks[[#Headers],[ID]])))))</f>
        <v/>
      </c>
      <c r="N149" s="126" t="str">
        <f aca="false">IF(IFERROR(INDEX(tsk_Name,(ROW()-ROW(MSPTasks[[#Headers],[ID]])))="",TRUE()),"",IF(N(INDEX(tsk_ActFinish,(ROW()-ROW(MSPTasks[[#Headers],[ID]]))))=0,"",INDEX(tsk_ActFinish,(ROW()-ROW(MSPTasks[[#Headers],[ID]])))))</f>
        <v/>
      </c>
      <c r="O149" s="126" t="str">
        <f aca="false">IF(IFERROR(INDEX(tsk_Name,(ROW()-ROW(MSPTasks[[#Headers],[ID]])))="",TRUE()),"",INDEX(tsk_PlanStart,(ROW()-ROW(MSPTasks[[#Headers],[ID]]))))</f>
        <v/>
      </c>
      <c r="P149" s="126"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9" s="126" t="str">
        <f aca="false">IF(IFERROR(INDEX(tsk_Name,(ROW()-ROW(MSPTasks[[#Headers],[ID]])))="",TRUE()),"",IF(OR(INDEX(tsk_IsSummary,(ROW()-ROW(MSPTasks[[#Headers],[ID]]))),INDEX(tsk_Mode,(ROW()-ROW(MSPTasks[[#Headers],[ID]])))="Manual"),"",IF(N(INDEX(tsk_ConstraintCode,(ROW()-ROW(MSPTasks[[#Headers],[ID]]))))&lt;2,"",INDEX(tsk_Constraint,(ROW()-ROW(MSPTasks[[#Headers],[ID]]))))))</f>
        <v/>
      </c>
      <c r="W149" s="126"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6" t="str">
        <f aca="false">IF(IFERROR(INDEX(tsk_Name,(ROW()-ROW(MSPTasks[[#Headers],[ID]])))="",TRUE()),"",INDEX(tsk_FcStart,(ROW()-ROW(MSPTasks[[#Headers],[ID]]))))</f>
        <v/>
      </c>
      <c r="H150" s="126"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IF(IFERROR(INDEX(tsk_Name,(ROW()-ROW(MSPTasks[[#Headers],[ID]])))="",TRUE()),"",INDEX(tsk_ResourceNames,(ROW()-ROW(MSPTasks[[#Headers],[ID]])))&amp;"")</f>
        <v/>
      </c>
      <c r="L150" s="24" t="str">
        <f aca="false">IF(IFERROR(INDEX(tsk_Name,(ROW()-ROW(MSPTasks[[#Headers],[ID]])))="",TRUE()),"",IF(INDEX(tsk_IsSummary,(ROW()-ROW(MSPTasks[[#Headers],[ID]]))),"",ROUND(INDEX(tsk_Progress,(ROW()-ROW(MSPTasks[[#Headers],[ID]])))*100,0)))</f>
        <v/>
      </c>
      <c r="M150" s="126" t="str">
        <f aca="false">IF(IFERROR(INDEX(tsk_Name,(ROW()-ROW(MSPTasks[[#Headers],[ID]])))="",TRUE()),"",IF(N(INDEX(tsk_ActStart,(ROW()-ROW(MSPTasks[[#Headers],[ID]]))))=0,"",INDEX(tsk_ActStart,(ROW()-ROW(MSPTasks[[#Headers],[ID]])))))</f>
        <v/>
      </c>
      <c r="N150" s="126" t="str">
        <f aca="false">IF(IFERROR(INDEX(tsk_Name,(ROW()-ROW(MSPTasks[[#Headers],[ID]])))="",TRUE()),"",IF(N(INDEX(tsk_ActFinish,(ROW()-ROW(MSPTasks[[#Headers],[ID]]))))=0,"",INDEX(tsk_ActFinish,(ROW()-ROW(MSPTasks[[#Headers],[ID]])))))</f>
        <v/>
      </c>
      <c r="O150" s="126" t="str">
        <f aca="false">IF(IFERROR(INDEX(tsk_Name,(ROW()-ROW(MSPTasks[[#Headers],[ID]])))="",TRUE()),"",INDEX(tsk_PlanStart,(ROW()-ROW(MSPTasks[[#Headers],[ID]]))))</f>
        <v/>
      </c>
      <c r="P150" s="126"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0" s="126" t="str">
        <f aca="false">IF(IFERROR(INDEX(tsk_Name,(ROW()-ROW(MSPTasks[[#Headers],[ID]])))="",TRUE()),"",IF(OR(INDEX(tsk_IsSummary,(ROW()-ROW(MSPTasks[[#Headers],[ID]]))),INDEX(tsk_Mode,(ROW()-ROW(MSPTasks[[#Headers],[ID]])))="Manual"),"",IF(N(INDEX(tsk_ConstraintCode,(ROW()-ROW(MSPTasks[[#Headers],[ID]]))))&lt;2,"",INDEX(tsk_Constraint,(ROW()-ROW(MSPTasks[[#Headers],[ID]]))))))</f>
        <v/>
      </c>
      <c r="W150" s="126"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6" t="str">
        <f aca="false">IF(IFERROR(INDEX(tsk_Name,(ROW()-ROW(MSPTasks[[#Headers],[ID]])))="",TRUE()),"",INDEX(tsk_FcStart,(ROW()-ROW(MSPTasks[[#Headers],[ID]]))))</f>
        <v/>
      </c>
      <c r="H151" s="126"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IF(IFERROR(INDEX(tsk_Name,(ROW()-ROW(MSPTasks[[#Headers],[ID]])))="",TRUE()),"",INDEX(tsk_ResourceNames,(ROW()-ROW(MSPTasks[[#Headers],[ID]])))&amp;"")</f>
        <v/>
      </c>
      <c r="L151" s="24" t="str">
        <f aca="false">IF(IFERROR(INDEX(tsk_Name,(ROW()-ROW(MSPTasks[[#Headers],[ID]])))="",TRUE()),"",IF(INDEX(tsk_IsSummary,(ROW()-ROW(MSPTasks[[#Headers],[ID]]))),"",ROUND(INDEX(tsk_Progress,(ROW()-ROW(MSPTasks[[#Headers],[ID]])))*100,0)))</f>
        <v/>
      </c>
      <c r="M151" s="126" t="str">
        <f aca="false">IF(IFERROR(INDEX(tsk_Name,(ROW()-ROW(MSPTasks[[#Headers],[ID]])))="",TRUE()),"",IF(N(INDEX(tsk_ActStart,(ROW()-ROW(MSPTasks[[#Headers],[ID]]))))=0,"",INDEX(tsk_ActStart,(ROW()-ROW(MSPTasks[[#Headers],[ID]])))))</f>
        <v/>
      </c>
      <c r="N151" s="126" t="str">
        <f aca="false">IF(IFERROR(INDEX(tsk_Name,(ROW()-ROW(MSPTasks[[#Headers],[ID]])))="",TRUE()),"",IF(N(INDEX(tsk_ActFinish,(ROW()-ROW(MSPTasks[[#Headers],[ID]]))))=0,"",INDEX(tsk_ActFinish,(ROW()-ROW(MSPTasks[[#Headers],[ID]])))))</f>
        <v/>
      </c>
      <c r="O151" s="126" t="str">
        <f aca="false">IF(IFERROR(INDEX(tsk_Name,(ROW()-ROW(MSPTasks[[#Headers],[ID]])))="",TRUE()),"",INDEX(tsk_PlanStart,(ROW()-ROW(MSPTasks[[#Headers],[ID]]))))</f>
        <v/>
      </c>
      <c r="P151" s="126"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1" s="126" t="str">
        <f aca="false">IF(IFERROR(INDEX(tsk_Name,(ROW()-ROW(MSPTasks[[#Headers],[ID]])))="",TRUE()),"",IF(OR(INDEX(tsk_IsSummary,(ROW()-ROW(MSPTasks[[#Headers],[ID]]))),INDEX(tsk_Mode,(ROW()-ROW(MSPTasks[[#Headers],[ID]])))="Manual"),"",IF(N(INDEX(tsk_ConstraintCode,(ROW()-ROW(MSPTasks[[#Headers],[ID]]))))&lt;2,"",INDEX(tsk_Constraint,(ROW()-ROW(MSPTasks[[#Headers],[ID]]))))))</f>
        <v/>
      </c>
      <c r="W151" s="126"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6" t="str">
        <f aca="false">IF(IFERROR(INDEX(tsk_Name,(ROW()-ROW(MSPTasks[[#Headers],[ID]])))="",TRUE()),"",INDEX(tsk_FcStart,(ROW()-ROW(MSPTasks[[#Headers],[ID]]))))</f>
        <v/>
      </c>
      <c r="H152" s="126"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IF(IFERROR(INDEX(tsk_Name,(ROW()-ROW(MSPTasks[[#Headers],[ID]])))="",TRUE()),"",INDEX(tsk_ResourceNames,(ROW()-ROW(MSPTasks[[#Headers],[ID]])))&amp;"")</f>
        <v/>
      </c>
      <c r="L152" s="24" t="str">
        <f aca="false">IF(IFERROR(INDEX(tsk_Name,(ROW()-ROW(MSPTasks[[#Headers],[ID]])))="",TRUE()),"",IF(INDEX(tsk_IsSummary,(ROW()-ROW(MSPTasks[[#Headers],[ID]]))),"",ROUND(INDEX(tsk_Progress,(ROW()-ROW(MSPTasks[[#Headers],[ID]])))*100,0)))</f>
        <v/>
      </c>
      <c r="M152" s="126" t="str">
        <f aca="false">IF(IFERROR(INDEX(tsk_Name,(ROW()-ROW(MSPTasks[[#Headers],[ID]])))="",TRUE()),"",IF(N(INDEX(tsk_ActStart,(ROW()-ROW(MSPTasks[[#Headers],[ID]]))))=0,"",INDEX(tsk_ActStart,(ROW()-ROW(MSPTasks[[#Headers],[ID]])))))</f>
        <v/>
      </c>
      <c r="N152" s="126" t="str">
        <f aca="false">IF(IFERROR(INDEX(tsk_Name,(ROW()-ROW(MSPTasks[[#Headers],[ID]])))="",TRUE()),"",IF(N(INDEX(tsk_ActFinish,(ROW()-ROW(MSPTasks[[#Headers],[ID]]))))=0,"",INDEX(tsk_ActFinish,(ROW()-ROW(MSPTasks[[#Headers],[ID]])))))</f>
        <v/>
      </c>
      <c r="O152" s="126" t="str">
        <f aca="false">IF(IFERROR(INDEX(tsk_Name,(ROW()-ROW(MSPTasks[[#Headers],[ID]])))="",TRUE()),"",INDEX(tsk_PlanStart,(ROW()-ROW(MSPTasks[[#Headers],[ID]]))))</f>
        <v/>
      </c>
      <c r="P152" s="126"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2" s="126" t="str">
        <f aca="false">IF(IFERROR(INDEX(tsk_Name,(ROW()-ROW(MSPTasks[[#Headers],[ID]])))="",TRUE()),"",IF(OR(INDEX(tsk_IsSummary,(ROW()-ROW(MSPTasks[[#Headers],[ID]]))),INDEX(tsk_Mode,(ROW()-ROW(MSPTasks[[#Headers],[ID]])))="Manual"),"",IF(N(INDEX(tsk_ConstraintCode,(ROW()-ROW(MSPTasks[[#Headers],[ID]]))))&lt;2,"",INDEX(tsk_Constraint,(ROW()-ROW(MSPTasks[[#Headers],[ID]]))))))</f>
        <v/>
      </c>
      <c r="W152" s="126"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6" t="str">
        <f aca="false">IF(IFERROR(INDEX(tsk_Name,(ROW()-ROW(MSPTasks[[#Headers],[ID]])))="",TRUE()),"",INDEX(tsk_FcStart,(ROW()-ROW(MSPTasks[[#Headers],[ID]]))))</f>
        <v/>
      </c>
      <c r="H153" s="126"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IF(IFERROR(INDEX(tsk_Name,(ROW()-ROW(MSPTasks[[#Headers],[ID]])))="",TRUE()),"",INDEX(tsk_ResourceNames,(ROW()-ROW(MSPTasks[[#Headers],[ID]])))&amp;"")</f>
        <v/>
      </c>
      <c r="L153" s="24" t="str">
        <f aca="false">IF(IFERROR(INDEX(tsk_Name,(ROW()-ROW(MSPTasks[[#Headers],[ID]])))="",TRUE()),"",IF(INDEX(tsk_IsSummary,(ROW()-ROW(MSPTasks[[#Headers],[ID]]))),"",ROUND(INDEX(tsk_Progress,(ROW()-ROW(MSPTasks[[#Headers],[ID]])))*100,0)))</f>
        <v/>
      </c>
      <c r="M153" s="126" t="str">
        <f aca="false">IF(IFERROR(INDEX(tsk_Name,(ROW()-ROW(MSPTasks[[#Headers],[ID]])))="",TRUE()),"",IF(N(INDEX(tsk_ActStart,(ROW()-ROW(MSPTasks[[#Headers],[ID]]))))=0,"",INDEX(tsk_ActStart,(ROW()-ROW(MSPTasks[[#Headers],[ID]])))))</f>
        <v/>
      </c>
      <c r="N153" s="126" t="str">
        <f aca="false">IF(IFERROR(INDEX(tsk_Name,(ROW()-ROW(MSPTasks[[#Headers],[ID]])))="",TRUE()),"",IF(N(INDEX(tsk_ActFinish,(ROW()-ROW(MSPTasks[[#Headers],[ID]]))))=0,"",INDEX(tsk_ActFinish,(ROW()-ROW(MSPTasks[[#Headers],[ID]])))))</f>
        <v/>
      </c>
      <c r="O153" s="126" t="str">
        <f aca="false">IF(IFERROR(INDEX(tsk_Name,(ROW()-ROW(MSPTasks[[#Headers],[ID]])))="",TRUE()),"",INDEX(tsk_PlanStart,(ROW()-ROW(MSPTasks[[#Headers],[ID]]))))</f>
        <v/>
      </c>
      <c r="P153" s="126"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3" s="126" t="str">
        <f aca="false">IF(IFERROR(INDEX(tsk_Name,(ROW()-ROW(MSPTasks[[#Headers],[ID]])))="",TRUE()),"",IF(OR(INDEX(tsk_IsSummary,(ROW()-ROW(MSPTasks[[#Headers],[ID]]))),INDEX(tsk_Mode,(ROW()-ROW(MSPTasks[[#Headers],[ID]])))="Manual"),"",IF(N(INDEX(tsk_ConstraintCode,(ROW()-ROW(MSPTasks[[#Headers],[ID]]))))&lt;2,"",INDEX(tsk_Constraint,(ROW()-ROW(MSPTasks[[#Headers],[ID]]))))))</f>
        <v/>
      </c>
      <c r="W153" s="126"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6" t="str">
        <f aca="false">IF(IFERROR(INDEX(tsk_Name,(ROW()-ROW(MSPTasks[[#Headers],[ID]])))="",TRUE()),"",INDEX(tsk_FcStart,(ROW()-ROW(MSPTasks[[#Headers],[ID]]))))</f>
        <v/>
      </c>
      <c r="H154" s="126"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IF(IFERROR(INDEX(tsk_Name,(ROW()-ROW(MSPTasks[[#Headers],[ID]])))="",TRUE()),"",INDEX(tsk_ResourceNames,(ROW()-ROW(MSPTasks[[#Headers],[ID]])))&amp;"")</f>
        <v/>
      </c>
      <c r="L154" s="24" t="str">
        <f aca="false">IF(IFERROR(INDEX(tsk_Name,(ROW()-ROW(MSPTasks[[#Headers],[ID]])))="",TRUE()),"",IF(INDEX(tsk_IsSummary,(ROW()-ROW(MSPTasks[[#Headers],[ID]]))),"",ROUND(INDEX(tsk_Progress,(ROW()-ROW(MSPTasks[[#Headers],[ID]])))*100,0)))</f>
        <v/>
      </c>
      <c r="M154" s="126" t="str">
        <f aca="false">IF(IFERROR(INDEX(tsk_Name,(ROW()-ROW(MSPTasks[[#Headers],[ID]])))="",TRUE()),"",IF(N(INDEX(tsk_ActStart,(ROW()-ROW(MSPTasks[[#Headers],[ID]]))))=0,"",INDEX(tsk_ActStart,(ROW()-ROW(MSPTasks[[#Headers],[ID]])))))</f>
        <v/>
      </c>
      <c r="N154" s="126" t="str">
        <f aca="false">IF(IFERROR(INDEX(tsk_Name,(ROW()-ROW(MSPTasks[[#Headers],[ID]])))="",TRUE()),"",IF(N(INDEX(tsk_ActFinish,(ROW()-ROW(MSPTasks[[#Headers],[ID]]))))=0,"",INDEX(tsk_ActFinish,(ROW()-ROW(MSPTasks[[#Headers],[ID]])))))</f>
        <v/>
      </c>
      <c r="O154" s="126" t="str">
        <f aca="false">IF(IFERROR(INDEX(tsk_Name,(ROW()-ROW(MSPTasks[[#Headers],[ID]])))="",TRUE()),"",INDEX(tsk_PlanStart,(ROW()-ROW(MSPTasks[[#Headers],[ID]]))))</f>
        <v/>
      </c>
      <c r="P154" s="126"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4" s="126" t="str">
        <f aca="false">IF(IFERROR(INDEX(tsk_Name,(ROW()-ROW(MSPTasks[[#Headers],[ID]])))="",TRUE()),"",IF(OR(INDEX(tsk_IsSummary,(ROW()-ROW(MSPTasks[[#Headers],[ID]]))),INDEX(tsk_Mode,(ROW()-ROW(MSPTasks[[#Headers],[ID]])))="Manual"),"",IF(N(INDEX(tsk_ConstraintCode,(ROW()-ROW(MSPTasks[[#Headers],[ID]]))))&lt;2,"",INDEX(tsk_Constraint,(ROW()-ROW(MSPTasks[[#Headers],[ID]]))))))</f>
        <v/>
      </c>
      <c r="W154" s="126"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6" t="str">
        <f aca="false">IF(IFERROR(INDEX(tsk_Name,(ROW()-ROW(MSPTasks[[#Headers],[ID]])))="",TRUE()),"",INDEX(tsk_FcStart,(ROW()-ROW(MSPTasks[[#Headers],[ID]]))))</f>
        <v/>
      </c>
      <c r="H155" s="126"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IF(IFERROR(INDEX(tsk_Name,(ROW()-ROW(MSPTasks[[#Headers],[ID]])))="",TRUE()),"",INDEX(tsk_ResourceNames,(ROW()-ROW(MSPTasks[[#Headers],[ID]])))&amp;"")</f>
        <v/>
      </c>
      <c r="L155" s="24" t="str">
        <f aca="false">IF(IFERROR(INDEX(tsk_Name,(ROW()-ROW(MSPTasks[[#Headers],[ID]])))="",TRUE()),"",IF(INDEX(tsk_IsSummary,(ROW()-ROW(MSPTasks[[#Headers],[ID]]))),"",ROUND(INDEX(tsk_Progress,(ROW()-ROW(MSPTasks[[#Headers],[ID]])))*100,0)))</f>
        <v/>
      </c>
      <c r="M155" s="126" t="str">
        <f aca="false">IF(IFERROR(INDEX(tsk_Name,(ROW()-ROW(MSPTasks[[#Headers],[ID]])))="",TRUE()),"",IF(N(INDEX(tsk_ActStart,(ROW()-ROW(MSPTasks[[#Headers],[ID]]))))=0,"",INDEX(tsk_ActStart,(ROW()-ROW(MSPTasks[[#Headers],[ID]])))))</f>
        <v/>
      </c>
      <c r="N155" s="126" t="str">
        <f aca="false">IF(IFERROR(INDEX(tsk_Name,(ROW()-ROW(MSPTasks[[#Headers],[ID]])))="",TRUE()),"",IF(N(INDEX(tsk_ActFinish,(ROW()-ROW(MSPTasks[[#Headers],[ID]]))))=0,"",INDEX(tsk_ActFinish,(ROW()-ROW(MSPTasks[[#Headers],[ID]])))))</f>
        <v/>
      </c>
      <c r="O155" s="126" t="str">
        <f aca="false">IF(IFERROR(INDEX(tsk_Name,(ROW()-ROW(MSPTasks[[#Headers],[ID]])))="",TRUE()),"",INDEX(tsk_PlanStart,(ROW()-ROW(MSPTasks[[#Headers],[ID]]))))</f>
        <v/>
      </c>
      <c r="P155" s="126"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5" s="126" t="str">
        <f aca="false">IF(IFERROR(INDEX(tsk_Name,(ROW()-ROW(MSPTasks[[#Headers],[ID]])))="",TRUE()),"",IF(OR(INDEX(tsk_IsSummary,(ROW()-ROW(MSPTasks[[#Headers],[ID]]))),INDEX(tsk_Mode,(ROW()-ROW(MSPTasks[[#Headers],[ID]])))="Manual"),"",IF(N(INDEX(tsk_ConstraintCode,(ROW()-ROW(MSPTasks[[#Headers],[ID]]))))&lt;2,"",INDEX(tsk_Constraint,(ROW()-ROW(MSPTasks[[#Headers],[ID]]))))))</f>
        <v/>
      </c>
      <c r="W155" s="126"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6" t="str">
        <f aca="false">IF(IFERROR(INDEX(tsk_Name,(ROW()-ROW(MSPTasks[[#Headers],[ID]])))="",TRUE()),"",INDEX(tsk_FcStart,(ROW()-ROW(MSPTasks[[#Headers],[ID]]))))</f>
        <v/>
      </c>
      <c r="H156" s="126"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IF(IFERROR(INDEX(tsk_Name,(ROW()-ROW(MSPTasks[[#Headers],[ID]])))="",TRUE()),"",INDEX(tsk_ResourceNames,(ROW()-ROW(MSPTasks[[#Headers],[ID]])))&amp;"")</f>
        <v/>
      </c>
      <c r="L156" s="24" t="str">
        <f aca="false">IF(IFERROR(INDEX(tsk_Name,(ROW()-ROW(MSPTasks[[#Headers],[ID]])))="",TRUE()),"",IF(INDEX(tsk_IsSummary,(ROW()-ROW(MSPTasks[[#Headers],[ID]]))),"",ROUND(INDEX(tsk_Progress,(ROW()-ROW(MSPTasks[[#Headers],[ID]])))*100,0)))</f>
        <v/>
      </c>
      <c r="M156" s="126" t="str">
        <f aca="false">IF(IFERROR(INDEX(tsk_Name,(ROW()-ROW(MSPTasks[[#Headers],[ID]])))="",TRUE()),"",IF(N(INDEX(tsk_ActStart,(ROW()-ROW(MSPTasks[[#Headers],[ID]]))))=0,"",INDEX(tsk_ActStart,(ROW()-ROW(MSPTasks[[#Headers],[ID]])))))</f>
        <v/>
      </c>
      <c r="N156" s="126" t="str">
        <f aca="false">IF(IFERROR(INDEX(tsk_Name,(ROW()-ROW(MSPTasks[[#Headers],[ID]])))="",TRUE()),"",IF(N(INDEX(tsk_ActFinish,(ROW()-ROW(MSPTasks[[#Headers],[ID]]))))=0,"",INDEX(tsk_ActFinish,(ROW()-ROW(MSPTasks[[#Headers],[ID]])))))</f>
        <v/>
      </c>
      <c r="O156" s="126" t="str">
        <f aca="false">IF(IFERROR(INDEX(tsk_Name,(ROW()-ROW(MSPTasks[[#Headers],[ID]])))="",TRUE()),"",INDEX(tsk_PlanStart,(ROW()-ROW(MSPTasks[[#Headers],[ID]]))))</f>
        <v/>
      </c>
      <c r="P156" s="126"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6" s="126" t="str">
        <f aca="false">IF(IFERROR(INDEX(tsk_Name,(ROW()-ROW(MSPTasks[[#Headers],[ID]])))="",TRUE()),"",IF(OR(INDEX(tsk_IsSummary,(ROW()-ROW(MSPTasks[[#Headers],[ID]]))),INDEX(tsk_Mode,(ROW()-ROW(MSPTasks[[#Headers],[ID]])))="Manual"),"",IF(N(INDEX(tsk_ConstraintCode,(ROW()-ROW(MSPTasks[[#Headers],[ID]]))))&lt;2,"",INDEX(tsk_Constraint,(ROW()-ROW(MSPTasks[[#Headers],[ID]]))))))</f>
        <v/>
      </c>
      <c r="W156" s="126"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6" t="str">
        <f aca="false">IF(IFERROR(INDEX(tsk_Name,(ROW()-ROW(MSPTasks[[#Headers],[ID]])))="",TRUE()),"",INDEX(tsk_FcStart,(ROW()-ROW(MSPTasks[[#Headers],[ID]]))))</f>
        <v/>
      </c>
      <c r="H157" s="126"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IF(IFERROR(INDEX(tsk_Name,(ROW()-ROW(MSPTasks[[#Headers],[ID]])))="",TRUE()),"",INDEX(tsk_ResourceNames,(ROW()-ROW(MSPTasks[[#Headers],[ID]])))&amp;"")</f>
        <v/>
      </c>
      <c r="L157" s="24" t="str">
        <f aca="false">IF(IFERROR(INDEX(tsk_Name,(ROW()-ROW(MSPTasks[[#Headers],[ID]])))="",TRUE()),"",IF(INDEX(tsk_IsSummary,(ROW()-ROW(MSPTasks[[#Headers],[ID]]))),"",ROUND(INDEX(tsk_Progress,(ROW()-ROW(MSPTasks[[#Headers],[ID]])))*100,0)))</f>
        <v/>
      </c>
      <c r="M157" s="126" t="str">
        <f aca="false">IF(IFERROR(INDEX(tsk_Name,(ROW()-ROW(MSPTasks[[#Headers],[ID]])))="",TRUE()),"",IF(N(INDEX(tsk_ActStart,(ROW()-ROW(MSPTasks[[#Headers],[ID]]))))=0,"",INDEX(tsk_ActStart,(ROW()-ROW(MSPTasks[[#Headers],[ID]])))))</f>
        <v/>
      </c>
      <c r="N157" s="126" t="str">
        <f aca="false">IF(IFERROR(INDEX(tsk_Name,(ROW()-ROW(MSPTasks[[#Headers],[ID]])))="",TRUE()),"",IF(N(INDEX(tsk_ActFinish,(ROW()-ROW(MSPTasks[[#Headers],[ID]]))))=0,"",INDEX(tsk_ActFinish,(ROW()-ROW(MSPTasks[[#Headers],[ID]])))))</f>
        <v/>
      </c>
      <c r="O157" s="126" t="str">
        <f aca="false">IF(IFERROR(INDEX(tsk_Name,(ROW()-ROW(MSPTasks[[#Headers],[ID]])))="",TRUE()),"",INDEX(tsk_PlanStart,(ROW()-ROW(MSPTasks[[#Headers],[ID]]))))</f>
        <v/>
      </c>
      <c r="P157" s="126"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7" s="126" t="str">
        <f aca="false">IF(IFERROR(INDEX(tsk_Name,(ROW()-ROW(MSPTasks[[#Headers],[ID]])))="",TRUE()),"",IF(OR(INDEX(tsk_IsSummary,(ROW()-ROW(MSPTasks[[#Headers],[ID]]))),INDEX(tsk_Mode,(ROW()-ROW(MSPTasks[[#Headers],[ID]])))="Manual"),"",IF(N(INDEX(tsk_ConstraintCode,(ROW()-ROW(MSPTasks[[#Headers],[ID]]))))&lt;2,"",INDEX(tsk_Constraint,(ROW()-ROW(MSPTasks[[#Headers],[ID]]))))))</f>
        <v/>
      </c>
      <c r="W157" s="126"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6" t="str">
        <f aca="false">IF(IFERROR(INDEX(tsk_Name,(ROW()-ROW(MSPTasks[[#Headers],[ID]])))="",TRUE()),"",INDEX(tsk_FcStart,(ROW()-ROW(MSPTasks[[#Headers],[ID]]))))</f>
        <v/>
      </c>
      <c r="H158" s="126"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IF(IFERROR(INDEX(tsk_Name,(ROW()-ROW(MSPTasks[[#Headers],[ID]])))="",TRUE()),"",INDEX(tsk_ResourceNames,(ROW()-ROW(MSPTasks[[#Headers],[ID]])))&amp;"")</f>
        <v/>
      </c>
      <c r="L158" s="24" t="str">
        <f aca="false">IF(IFERROR(INDEX(tsk_Name,(ROW()-ROW(MSPTasks[[#Headers],[ID]])))="",TRUE()),"",IF(INDEX(tsk_IsSummary,(ROW()-ROW(MSPTasks[[#Headers],[ID]]))),"",ROUND(INDEX(tsk_Progress,(ROW()-ROW(MSPTasks[[#Headers],[ID]])))*100,0)))</f>
        <v/>
      </c>
      <c r="M158" s="126" t="str">
        <f aca="false">IF(IFERROR(INDEX(tsk_Name,(ROW()-ROW(MSPTasks[[#Headers],[ID]])))="",TRUE()),"",IF(N(INDEX(tsk_ActStart,(ROW()-ROW(MSPTasks[[#Headers],[ID]]))))=0,"",INDEX(tsk_ActStart,(ROW()-ROW(MSPTasks[[#Headers],[ID]])))))</f>
        <v/>
      </c>
      <c r="N158" s="126" t="str">
        <f aca="false">IF(IFERROR(INDEX(tsk_Name,(ROW()-ROW(MSPTasks[[#Headers],[ID]])))="",TRUE()),"",IF(N(INDEX(tsk_ActFinish,(ROW()-ROW(MSPTasks[[#Headers],[ID]]))))=0,"",INDEX(tsk_ActFinish,(ROW()-ROW(MSPTasks[[#Headers],[ID]])))))</f>
        <v/>
      </c>
      <c r="O158" s="126" t="str">
        <f aca="false">IF(IFERROR(INDEX(tsk_Name,(ROW()-ROW(MSPTasks[[#Headers],[ID]])))="",TRUE()),"",INDEX(tsk_PlanStart,(ROW()-ROW(MSPTasks[[#Headers],[ID]]))))</f>
        <v/>
      </c>
      <c r="P158" s="126"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8" s="126" t="str">
        <f aca="false">IF(IFERROR(INDEX(tsk_Name,(ROW()-ROW(MSPTasks[[#Headers],[ID]])))="",TRUE()),"",IF(OR(INDEX(tsk_IsSummary,(ROW()-ROW(MSPTasks[[#Headers],[ID]]))),INDEX(tsk_Mode,(ROW()-ROW(MSPTasks[[#Headers],[ID]])))="Manual"),"",IF(N(INDEX(tsk_ConstraintCode,(ROW()-ROW(MSPTasks[[#Headers],[ID]]))))&lt;2,"",INDEX(tsk_Constraint,(ROW()-ROW(MSPTasks[[#Headers],[ID]]))))))</f>
        <v/>
      </c>
      <c r="W158" s="126"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6" t="str">
        <f aca="false">IF(IFERROR(INDEX(tsk_Name,(ROW()-ROW(MSPTasks[[#Headers],[ID]])))="",TRUE()),"",INDEX(tsk_FcStart,(ROW()-ROW(MSPTasks[[#Headers],[ID]]))))</f>
        <v/>
      </c>
      <c r="H159" s="126"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IF(IFERROR(INDEX(tsk_Name,(ROW()-ROW(MSPTasks[[#Headers],[ID]])))="",TRUE()),"",INDEX(tsk_ResourceNames,(ROW()-ROW(MSPTasks[[#Headers],[ID]])))&amp;"")</f>
        <v/>
      </c>
      <c r="L159" s="24" t="str">
        <f aca="false">IF(IFERROR(INDEX(tsk_Name,(ROW()-ROW(MSPTasks[[#Headers],[ID]])))="",TRUE()),"",IF(INDEX(tsk_IsSummary,(ROW()-ROW(MSPTasks[[#Headers],[ID]]))),"",ROUND(INDEX(tsk_Progress,(ROW()-ROW(MSPTasks[[#Headers],[ID]])))*100,0)))</f>
        <v/>
      </c>
      <c r="M159" s="126" t="str">
        <f aca="false">IF(IFERROR(INDEX(tsk_Name,(ROW()-ROW(MSPTasks[[#Headers],[ID]])))="",TRUE()),"",IF(N(INDEX(tsk_ActStart,(ROW()-ROW(MSPTasks[[#Headers],[ID]]))))=0,"",INDEX(tsk_ActStart,(ROW()-ROW(MSPTasks[[#Headers],[ID]])))))</f>
        <v/>
      </c>
      <c r="N159" s="126" t="str">
        <f aca="false">IF(IFERROR(INDEX(tsk_Name,(ROW()-ROW(MSPTasks[[#Headers],[ID]])))="",TRUE()),"",IF(N(INDEX(tsk_ActFinish,(ROW()-ROW(MSPTasks[[#Headers],[ID]]))))=0,"",INDEX(tsk_ActFinish,(ROW()-ROW(MSPTasks[[#Headers],[ID]])))))</f>
        <v/>
      </c>
      <c r="O159" s="126" t="str">
        <f aca="false">IF(IFERROR(INDEX(tsk_Name,(ROW()-ROW(MSPTasks[[#Headers],[ID]])))="",TRUE()),"",INDEX(tsk_PlanStart,(ROW()-ROW(MSPTasks[[#Headers],[ID]]))))</f>
        <v/>
      </c>
      <c r="P159" s="126"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9" s="126" t="str">
        <f aca="false">IF(IFERROR(INDEX(tsk_Name,(ROW()-ROW(MSPTasks[[#Headers],[ID]])))="",TRUE()),"",IF(OR(INDEX(tsk_IsSummary,(ROW()-ROW(MSPTasks[[#Headers],[ID]]))),INDEX(tsk_Mode,(ROW()-ROW(MSPTasks[[#Headers],[ID]])))="Manual"),"",IF(N(INDEX(tsk_ConstraintCode,(ROW()-ROW(MSPTasks[[#Headers],[ID]]))))&lt;2,"",INDEX(tsk_Constraint,(ROW()-ROW(MSPTasks[[#Headers],[ID]]))))))</f>
        <v/>
      </c>
      <c r="W159" s="126"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6" t="str">
        <f aca="false">IF(IFERROR(INDEX(tsk_Name,(ROW()-ROW(MSPTasks[[#Headers],[ID]])))="",TRUE()),"",INDEX(tsk_FcStart,(ROW()-ROW(MSPTasks[[#Headers],[ID]]))))</f>
        <v/>
      </c>
      <c r="H160" s="126"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IF(IFERROR(INDEX(tsk_Name,(ROW()-ROW(MSPTasks[[#Headers],[ID]])))="",TRUE()),"",INDEX(tsk_ResourceNames,(ROW()-ROW(MSPTasks[[#Headers],[ID]])))&amp;"")</f>
        <v/>
      </c>
      <c r="L160" s="24" t="str">
        <f aca="false">IF(IFERROR(INDEX(tsk_Name,(ROW()-ROW(MSPTasks[[#Headers],[ID]])))="",TRUE()),"",IF(INDEX(tsk_IsSummary,(ROW()-ROW(MSPTasks[[#Headers],[ID]]))),"",ROUND(INDEX(tsk_Progress,(ROW()-ROW(MSPTasks[[#Headers],[ID]])))*100,0)))</f>
        <v/>
      </c>
      <c r="M160" s="126" t="str">
        <f aca="false">IF(IFERROR(INDEX(tsk_Name,(ROW()-ROW(MSPTasks[[#Headers],[ID]])))="",TRUE()),"",IF(N(INDEX(tsk_ActStart,(ROW()-ROW(MSPTasks[[#Headers],[ID]]))))=0,"",INDEX(tsk_ActStart,(ROW()-ROW(MSPTasks[[#Headers],[ID]])))))</f>
        <v/>
      </c>
      <c r="N160" s="126" t="str">
        <f aca="false">IF(IFERROR(INDEX(tsk_Name,(ROW()-ROW(MSPTasks[[#Headers],[ID]])))="",TRUE()),"",IF(N(INDEX(tsk_ActFinish,(ROW()-ROW(MSPTasks[[#Headers],[ID]]))))=0,"",INDEX(tsk_ActFinish,(ROW()-ROW(MSPTasks[[#Headers],[ID]])))))</f>
        <v/>
      </c>
      <c r="O160" s="126" t="str">
        <f aca="false">IF(IFERROR(INDEX(tsk_Name,(ROW()-ROW(MSPTasks[[#Headers],[ID]])))="",TRUE()),"",INDEX(tsk_PlanStart,(ROW()-ROW(MSPTasks[[#Headers],[ID]]))))</f>
        <v/>
      </c>
      <c r="P160" s="126"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0" s="126" t="str">
        <f aca="false">IF(IFERROR(INDEX(tsk_Name,(ROW()-ROW(MSPTasks[[#Headers],[ID]])))="",TRUE()),"",IF(OR(INDEX(tsk_IsSummary,(ROW()-ROW(MSPTasks[[#Headers],[ID]]))),INDEX(tsk_Mode,(ROW()-ROW(MSPTasks[[#Headers],[ID]])))="Manual"),"",IF(N(INDEX(tsk_ConstraintCode,(ROW()-ROW(MSPTasks[[#Headers],[ID]]))))&lt;2,"",INDEX(tsk_Constraint,(ROW()-ROW(MSPTasks[[#Headers],[ID]]))))))</f>
        <v/>
      </c>
      <c r="W160" s="126"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6" t="str">
        <f aca="false">IF(IFERROR(INDEX(tsk_Name,(ROW()-ROW(MSPTasks[[#Headers],[ID]])))="",TRUE()),"",INDEX(tsk_FcStart,(ROW()-ROW(MSPTasks[[#Headers],[ID]]))))</f>
        <v/>
      </c>
      <c r="H161" s="126"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IF(IFERROR(INDEX(tsk_Name,(ROW()-ROW(MSPTasks[[#Headers],[ID]])))="",TRUE()),"",INDEX(tsk_ResourceNames,(ROW()-ROW(MSPTasks[[#Headers],[ID]])))&amp;"")</f>
        <v/>
      </c>
      <c r="L161" s="24" t="str">
        <f aca="false">IF(IFERROR(INDEX(tsk_Name,(ROW()-ROW(MSPTasks[[#Headers],[ID]])))="",TRUE()),"",IF(INDEX(tsk_IsSummary,(ROW()-ROW(MSPTasks[[#Headers],[ID]]))),"",ROUND(INDEX(tsk_Progress,(ROW()-ROW(MSPTasks[[#Headers],[ID]])))*100,0)))</f>
        <v/>
      </c>
      <c r="M161" s="126" t="str">
        <f aca="false">IF(IFERROR(INDEX(tsk_Name,(ROW()-ROW(MSPTasks[[#Headers],[ID]])))="",TRUE()),"",IF(N(INDEX(tsk_ActStart,(ROW()-ROW(MSPTasks[[#Headers],[ID]]))))=0,"",INDEX(tsk_ActStart,(ROW()-ROW(MSPTasks[[#Headers],[ID]])))))</f>
        <v/>
      </c>
      <c r="N161" s="126" t="str">
        <f aca="false">IF(IFERROR(INDEX(tsk_Name,(ROW()-ROW(MSPTasks[[#Headers],[ID]])))="",TRUE()),"",IF(N(INDEX(tsk_ActFinish,(ROW()-ROW(MSPTasks[[#Headers],[ID]]))))=0,"",INDEX(tsk_ActFinish,(ROW()-ROW(MSPTasks[[#Headers],[ID]])))))</f>
        <v/>
      </c>
      <c r="O161" s="126" t="str">
        <f aca="false">IF(IFERROR(INDEX(tsk_Name,(ROW()-ROW(MSPTasks[[#Headers],[ID]])))="",TRUE()),"",INDEX(tsk_PlanStart,(ROW()-ROW(MSPTasks[[#Headers],[ID]]))))</f>
        <v/>
      </c>
      <c r="P161" s="126"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1" s="126" t="str">
        <f aca="false">IF(IFERROR(INDEX(tsk_Name,(ROW()-ROW(MSPTasks[[#Headers],[ID]])))="",TRUE()),"",IF(OR(INDEX(tsk_IsSummary,(ROW()-ROW(MSPTasks[[#Headers],[ID]]))),INDEX(tsk_Mode,(ROW()-ROW(MSPTasks[[#Headers],[ID]])))="Manual"),"",IF(N(INDEX(tsk_ConstraintCode,(ROW()-ROW(MSPTasks[[#Headers],[ID]]))))&lt;2,"",INDEX(tsk_Constraint,(ROW()-ROW(MSPTasks[[#Headers],[ID]]))))))</f>
        <v/>
      </c>
      <c r="W161" s="126"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6" t="str">
        <f aca="false">IF(IFERROR(INDEX(tsk_Name,(ROW()-ROW(MSPTasks[[#Headers],[ID]])))="",TRUE()),"",INDEX(tsk_FcStart,(ROW()-ROW(MSPTasks[[#Headers],[ID]]))))</f>
        <v/>
      </c>
      <c r="H162" s="126"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IF(IFERROR(INDEX(tsk_Name,(ROW()-ROW(MSPTasks[[#Headers],[ID]])))="",TRUE()),"",INDEX(tsk_ResourceNames,(ROW()-ROW(MSPTasks[[#Headers],[ID]])))&amp;"")</f>
        <v/>
      </c>
      <c r="L162" s="24" t="str">
        <f aca="false">IF(IFERROR(INDEX(tsk_Name,(ROW()-ROW(MSPTasks[[#Headers],[ID]])))="",TRUE()),"",IF(INDEX(tsk_IsSummary,(ROW()-ROW(MSPTasks[[#Headers],[ID]]))),"",ROUND(INDEX(tsk_Progress,(ROW()-ROW(MSPTasks[[#Headers],[ID]])))*100,0)))</f>
        <v/>
      </c>
      <c r="M162" s="126" t="str">
        <f aca="false">IF(IFERROR(INDEX(tsk_Name,(ROW()-ROW(MSPTasks[[#Headers],[ID]])))="",TRUE()),"",IF(N(INDEX(tsk_ActStart,(ROW()-ROW(MSPTasks[[#Headers],[ID]]))))=0,"",INDEX(tsk_ActStart,(ROW()-ROW(MSPTasks[[#Headers],[ID]])))))</f>
        <v/>
      </c>
      <c r="N162" s="126" t="str">
        <f aca="false">IF(IFERROR(INDEX(tsk_Name,(ROW()-ROW(MSPTasks[[#Headers],[ID]])))="",TRUE()),"",IF(N(INDEX(tsk_ActFinish,(ROW()-ROW(MSPTasks[[#Headers],[ID]]))))=0,"",INDEX(tsk_ActFinish,(ROW()-ROW(MSPTasks[[#Headers],[ID]])))))</f>
        <v/>
      </c>
      <c r="O162" s="126" t="str">
        <f aca="false">IF(IFERROR(INDEX(tsk_Name,(ROW()-ROW(MSPTasks[[#Headers],[ID]])))="",TRUE()),"",INDEX(tsk_PlanStart,(ROW()-ROW(MSPTasks[[#Headers],[ID]]))))</f>
        <v/>
      </c>
      <c r="P162" s="126"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2" s="126" t="str">
        <f aca="false">IF(IFERROR(INDEX(tsk_Name,(ROW()-ROW(MSPTasks[[#Headers],[ID]])))="",TRUE()),"",IF(OR(INDEX(tsk_IsSummary,(ROW()-ROW(MSPTasks[[#Headers],[ID]]))),INDEX(tsk_Mode,(ROW()-ROW(MSPTasks[[#Headers],[ID]])))="Manual"),"",IF(N(INDEX(tsk_ConstraintCode,(ROW()-ROW(MSPTasks[[#Headers],[ID]]))))&lt;2,"",INDEX(tsk_Constraint,(ROW()-ROW(MSPTasks[[#Headers],[ID]]))))))</f>
        <v/>
      </c>
      <c r="W162" s="126"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6" t="str">
        <f aca="false">IF(IFERROR(INDEX(tsk_Name,(ROW()-ROW(MSPTasks[[#Headers],[ID]])))="",TRUE()),"",INDEX(tsk_FcStart,(ROW()-ROW(MSPTasks[[#Headers],[ID]]))))</f>
        <v/>
      </c>
      <c r="H163" s="126"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IF(IFERROR(INDEX(tsk_Name,(ROW()-ROW(MSPTasks[[#Headers],[ID]])))="",TRUE()),"",INDEX(tsk_ResourceNames,(ROW()-ROW(MSPTasks[[#Headers],[ID]])))&amp;"")</f>
        <v/>
      </c>
      <c r="L163" s="24" t="str">
        <f aca="false">IF(IFERROR(INDEX(tsk_Name,(ROW()-ROW(MSPTasks[[#Headers],[ID]])))="",TRUE()),"",IF(INDEX(tsk_IsSummary,(ROW()-ROW(MSPTasks[[#Headers],[ID]]))),"",ROUND(INDEX(tsk_Progress,(ROW()-ROW(MSPTasks[[#Headers],[ID]])))*100,0)))</f>
        <v/>
      </c>
      <c r="M163" s="126" t="str">
        <f aca="false">IF(IFERROR(INDEX(tsk_Name,(ROW()-ROW(MSPTasks[[#Headers],[ID]])))="",TRUE()),"",IF(N(INDEX(tsk_ActStart,(ROW()-ROW(MSPTasks[[#Headers],[ID]]))))=0,"",INDEX(tsk_ActStart,(ROW()-ROW(MSPTasks[[#Headers],[ID]])))))</f>
        <v/>
      </c>
      <c r="N163" s="126" t="str">
        <f aca="false">IF(IFERROR(INDEX(tsk_Name,(ROW()-ROW(MSPTasks[[#Headers],[ID]])))="",TRUE()),"",IF(N(INDEX(tsk_ActFinish,(ROW()-ROW(MSPTasks[[#Headers],[ID]]))))=0,"",INDEX(tsk_ActFinish,(ROW()-ROW(MSPTasks[[#Headers],[ID]])))))</f>
        <v/>
      </c>
      <c r="O163" s="126" t="str">
        <f aca="false">IF(IFERROR(INDEX(tsk_Name,(ROW()-ROW(MSPTasks[[#Headers],[ID]])))="",TRUE()),"",INDEX(tsk_PlanStart,(ROW()-ROW(MSPTasks[[#Headers],[ID]]))))</f>
        <v/>
      </c>
      <c r="P163" s="126"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3" s="126" t="str">
        <f aca="false">IF(IFERROR(INDEX(tsk_Name,(ROW()-ROW(MSPTasks[[#Headers],[ID]])))="",TRUE()),"",IF(OR(INDEX(tsk_IsSummary,(ROW()-ROW(MSPTasks[[#Headers],[ID]]))),INDEX(tsk_Mode,(ROW()-ROW(MSPTasks[[#Headers],[ID]])))="Manual"),"",IF(N(INDEX(tsk_ConstraintCode,(ROW()-ROW(MSPTasks[[#Headers],[ID]]))))&lt;2,"",INDEX(tsk_Constraint,(ROW()-ROW(MSPTasks[[#Headers],[ID]]))))))</f>
        <v/>
      </c>
      <c r="W163" s="126"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6" t="str">
        <f aca="false">IF(IFERROR(INDEX(tsk_Name,(ROW()-ROW(MSPTasks[[#Headers],[ID]])))="",TRUE()),"",INDEX(tsk_FcStart,(ROW()-ROW(MSPTasks[[#Headers],[ID]]))))</f>
        <v/>
      </c>
      <c r="H164" s="126"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IF(IFERROR(INDEX(tsk_Name,(ROW()-ROW(MSPTasks[[#Headers],[ID]])))="",TRUE()),"",INDEX(tsk_ResourceNames,(ROW()-ROW(MSPTasks[[#Headers],[ID]])))&amp;"")</f>
        <v/>
      </c>
      <c r="L164" s="24" t="str">
        <f aca="false">IF(IFERROR(INDEX(tsk_Name,(ROW()-ROW(MSPTasks[[#Headers],[ID]])))="",TRUE()),"",IF(INDEX(tsk_IsSummary,(ROW()-ROW(MSPTasks[[#Headers],[ID]]))),"",ROUND(INDEX(tsk_Progress,(ROW()-ROW(MSPTasks[[#Headers],[ID]])))*100,0)))</f>
        <v/>
      </c>
      <c r="M164" s="126" t="str">
        <f aca="false">IF(IFERROR(INDEX(tsk_Name,(ROW()-ROW(MSPTasks[[#Headers],[ID]])))="",TRUE()),"",IF(N(INDEX(tsk_ActStart,(ROW()-ROW(MSPTasks[[#Headers],[ID]]))))=0,"",INDEX(tsk_ActStart,(ROW()-ROW(MSPTasks[[#Headers],[ID]])))))</f>
        <v/>
      </c>
      <c r="N164" s="126" t="str">
        <f aca="false">IF(IFERROR(INDEX(tsk_Name,(ROW()-ROW(MSPTasks[[#Headers],[ID]])))="",TRUE()),"",IF(N(INDEX(tsk_ActFinish,(ROW()-ROW(MSPTasks[[#Headers],[ID]]))))=0,"",INDEX(tsk_ActFinish,(ROW()-ROW(MSPTasks[[#Headers],[ID]])))))</f>
        <v/>
      </c>
      <c r="O164" s="126" t="str">
        <f aca="false">IF(IFERROR(INDEX(tsk_Name,(ROW()-ROW(MSPTasks[[#Headers],[ID]])))="",TRUE()),"",INDEX(tsk_PlanStart,(ROW()-ROW(MSPTasks[[#Headers],[ID]]))))</f>
        <v/>
      </c>
      <c r="P164" s="126"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4" s="126" t="str">
        <f aca="false">IF(IFERROR(INDEX(tsk_Name,(ROW()-ROW(MSPTasks[[#Headers],[ID]])))="",TRUE()),"",IF(OR(INDEX(tsk_IsSummary,(ROW()-ROW(MSPTasks[[#Headers],[ID]]))),INDEX(tsk_Mode,(ROW()-ROW(MSPTasks[[#Headers],[ID]])))="Manual"),"",IF(N(INDEX(tsk_ConstraintCode,(ROW()-ROW(MSPTasks[[#Headers],[ID]]))))&lt;2,"",INDEX(tsk_Constraint,(ROW()-ROW(MSPTasks[[#Headers],[ID]]))))))</f>
        <v/>
      </c>
      <c r="W164" s="126"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6" t="str">
        <f aca="false">IF(IFERROR(INDEX(tsk_Name,(ROW()-ROW(MSPTasks[[#Headers],[ID]])))="",TRUE()),"",INDEX(tsk_FcStart,(ROW()-ROW(MSPTasks[[#Headers],[ID]]))))</f>
        <v/>
      </c>
      <c r="H165" s="126"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IF(IFERROR(INDEX(tsk_Name,(ROW()-ROW(MSPTasks[[#Headers],[ID]])))="",TRUE()),"",INDEX(tsk_ResourceNames,(ROW()-ROW(MSPTasks[[#Headers],[ID]])))&amp;"")</f>
        <v/>
      </c>
      <c r="L165" s="24" t="str">
        <f aca="false">IF(IFERROR(INDEX(tsk_Name,(ROW()-ROW(MSPTasks[[#Headers],[ID]])))="",TRUE()),"",IF(INDEX(tsk_IsSummary,(ROW()-ROW(MSPTasks[[#Headers],[ID]]))),"",ROUND(INDEX(tsk_Progress,(ROW()-ROW(MSPTasks[[#Headers],[ID]])))*100,0)))</f>
        <v/>
      </c>
      <c r="M165" s="126" t="str">
        <f aca="false">IF(IFERROR(INDEX(tsk_Name,(ROW()-ROW(MSPTasks[[#Headers],[ID]])))="",TRUE()),"",IF(N(INDEX(tsk_ActStart,(ROW()-ROW(MSPTasks[[#Headers],[ID]]))))=0,"",INDEX(tsk_ActStart,(ROW()-ROW(MSPTasks[[#Headers],[ID]])))))</f>
        <v/>
      </c>
      <c r="N165" s="126" t="str">
        <f aca="false">IF(IFERROR(INDEX(tsk_Name,(ROW()-ROW(MSPTasks[[#Headers],[ID]])))="",TRUE()),"",IF(N(INDEX(tsk_ActFinish,(ROW()-ROW(MSPTasks[[#Headers],[ID]]))))=0,"",INDEX(tsk_ActFinish,(ROW()-ROW(MSPTasks[[#Headers],[ID]])))))</f>
        <v/>
      </c>
      <c r="O165" s="126" t="str">
        <f aca="false">IF(IFERROR(INDEX(tsk_Name,(ROW()-ROW(MSPTasks[[#Headers],[ID]])))="",TRUE()),"",INDEX(tsk_PlanStart,(ROW()-ROW(MSPTasks[[#Headers],[ID]]))))</f>
        <v/>
      </c>
      <c r="P165" s="126"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5" s="126" t="str">
        <f aca="false">IF(IFERROR(INDEX(tsk_Name,(ROW()-ROW(MSPTasks[[#Headers],[ID]])))="",TRUE()),"",IF(OR(INDEX(tsk_IsSummary,(ROW()-ROW(MSPTasks[[#Headers],[ID]]))),INDEX(tsk_Mode,(ROW()-ROW(MSPTasks[[#Headers],[ID]])))="Manual"),"",IF(N(INDEX(tsk_ConstraintCode,(ROW()-ROW(MSPTasks[[#Headers],[ID]]))))&lt;2,"",INDEX(tsk_Constraint,(ROW()-ROW(MSPTasks[[#Headers],[ID]]))))))</f>
        <v/>
      </c>
      <c r="W165" s="126"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6" t="str">
        <f aca="false">IF(IFERROR(INDEX(tsk_Name,(ROW()-ROW(MSPTasks[[#Headers],[ID]])))="",TRUE()),"",INDEX(tsk_FcStart,(ROW()-ROW(MSPTasks[[#Headers],[ID]]))))</f>
        <v/>
      </c>
      <c r="H166" s="126"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IF(IFERROR(INDEX(tsk_Name,(ROW()-ROW(MSPTasks[[#Headers],[ID]])))="",TRUE()),"",INDEX(tsk_ResourceNames,(ROW()-ROW(MSPTasks[[#Headers],[ID]])))&amp;"")</f>
        <v/>
      </c>
      <c r="L166" s="24" t="str">
        <f aca="false">IF(IFERROR(INDEX(tsk_Name,(ROW()-ROW(MSPTasks[[#Headers],[ID]])))="",TRUE()),"",IF(INDEX(tsk_IsSummary,(ROW()-ROW(MSPTasks[[#Headers],[ID]]))),"",ROUND(INDEX(tsk_Progress,(ROW()-ROW(MSPTasks[[#Headers],[ID]])))*100,0)))</f>
        <v/>
      </c>
      <c r="M166" s="126" t="str">
        <f aca="false">IF(IFERROR(INDEX(tsk_Name,(ROW()-ROW(MSPTasks[[#Headers],[ID]])))="",TRUE()),"",IF(N(INDEX(tsk_ActStart,(ROW()-ROW(MSPTasks[[#Headers],[ID]]))))=0,"",INDEX(tsk_ActStart,(ROW()-ROW(MSPTasks[[#Headers],[ID]])))))</f>
        <v/>
      </c>
      <c r="N166" s="126" t="str">
        <f aca="false">IF(IFERROR(INDEX(tsk_Name,(ROW()-ROW(MSPTasks[[#Headers],[ID]])))="",TRUE()),"",IF(N(INDEX(tsk_ActFinish,(ROW()-ROW(MSPTasks[[#Headers],[ID]]))))=0,"",INDEX(tsk_ActFinish,(ROW()-ROW(MSPTasks[[#Headers],[ID]])))))</f>
        <v/>
      </c>
      <c r="O166" s="126" t="str">
        <f aca="false">IF(IFERROR(INDEX(tsk_Name,(ROW()-ROW(MSPTasks[[#Headers],[ID]])))="",TRUE()),"",INDEX(tsk_PlanStart,(ROW()-ROW(MSPTasks[[#Headers],[ID]]))))</f>
        <v/>
      </c>
      <c r="P166" s="126"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6" s="126" t="str">
        <f aca="false">IF(IFERROR(INDEX(tsk_Name,(ROW()-ROW(MSPTasks[[#Headers],[ID]])))="",TRUE()),"",IF(OR(INDEX(tsk_IsSummary,(ROW()-ROW(MSPTasks[[#Headers],[ID]]))),INDEX(tsk_Mode,(ROW()-ROW(MSPTasks[[#Headers],[ID]])))="Manual"),"",IF(N(INDEX(tsk_ConstraintCode,(ROW()-ROW(MSPTasks[[#Headers],[ID]]))))&lt;2,"",INDEX(tsk_Constraint,(ROW()-ROW(MSPTasks[[#Headers],[ID]]))))))</f>
        <v/>
      </c>
      <c r="W166" s="126"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6" t="str">
        <f aca="false">IF(IFERROR(INDEX(tsk_Name,(ROW()-ROW(MSPTasks[[#Headers],[ID]])))="",TRUE()),"",INDEX(tsk_FcStart,(ROW()-ROW(MSPTasks[[#Headers],[ID]]))))</f>
        <v/>
      </c>
      <c r="H167" s="126"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IF(IFERROR(INDEX(tsk_Name,(ROW()-ROW(MSPTasks[[#Headers],[ID]])))="",TRUE()),"",INDEX(tsk_ResourceNames,(ROW()-ROW(MSPTasks[[#Headers],[ID]])))&amp;"")</f>
        <v/>
      </c>
      <c r="L167" s="24" t="str">
        <f aca="false">IF(IFERROR(INDEX(tsk_Name,(ROW()-ROW(MSPTasks[[#Headers],[ID]])))="",TRUE()),"",IF(INDEX(tsk_IsSummary,(ROW()-ROW(MSPTasks[[#Headers],[ID]]))),"",ROUND(INDEX(tsk_Progress,(ROW()-ROW(MSPTasks[[#Headers],[ID]])))*100,0)))</f>
        <v/>
      </c>
      <c r="M167" s="126" t="str">
        <f aca="false">IF(IFERROR(INDEX(tsk_Name,(ROW()-ROW(MSPTasks[[#Headers],[ID]])))="",TRUE()),"",IF(N(INDEX(tsk_ActStart,(ROW()-ROW(MSPTasks[[#Headers],[ID]]))))=0,"",INDEX(tsk_ActStart,(ROW()-ROW(MSPTasks[[#Headers],[ID]])))))</f>
        <v/>
      </c>
      <c r="N167" s="126" t="str">
        <f aca="false">IF(IFERROR(INDEX(tsk_Name,(ROW()-ROW(MSPTasks[[#Headers],[ID]])))="",TRUE()),"",IF(N(INDEX(tsk_ActFinish,(ROW()-ROW(MSPTasks[[#Headers],[ID]]))))=0,"",INDEX(tsk_ActFinish,(ROW()-ROW(MSPTasks[[#Headers],[ID]])))))</f>
        <v/>
      </c>
      <c r="O167" s="126" t="str">
        <f aca="false">IF(IFERROR(INDEX(tsk_Name,(ROW()-ROW(MSPTasks[[#Headers],[ID]])))="",TRUE()),"",INDEX(tsk_PlanStart,(ROW()-ROW(MSPTasks[[#Headers],[ID]]))))</f>
        <v/>
      </c>
      <c r="P167" s="126"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7" s="126" t="str">
        <f aca="false">IF(IFERROR(INDEX(tsk_Name,(ROW()-ROW(MSPTasks[[#Headers],[ID]])))="",TRUE()),"",IF(OR(INDEX(tsk_IsSummary,(ROW()-ROW(MSPTasks[[#Headers],[ID]]))),INDEX(tsk_Mode,(ROW()-ROW(MSPTasks[[#Headers],[ID]])))="Manual"),"",IF(N(INDEX(tsk_ConstraintCode,(ROW()-ROW(MSPTasks[[#Headers],[ID]]))))&lt;2,"",INDEX(tsk_Constraint,(ROW()-ROW(MSPTasks[[#Headers],[ID]]))))))</f>
        <v/>
      </c>
      <c r="W167" s="126"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6" t="str">
        <f aca="false">IF(IFERROR(INDEX(tsk_Name,(ROW()-ROW(MSPTasks[[#Headers],[ID]])))="",TRUE()),"",INDEX(tsk_FcStart,(ROW()-ROW(MSPTasks[[#Headers],[ID]]))))</f>
        <v/>
      </c>
      <c r="H168" s="126"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IF(IFERROR(INDEX(tsk_Name,(ROW()-ROW(MSPTasks[[#Headers],[ID]])))="",TRUE()),"",INDEX(tsk_ResourceNames,(ROW()-ROW(MSPTasks[[#Headers],[ID]])))&amp;"")</f>
        <v/>
      </c>
      <c r="L168" s="24" t="str">
        <f aca="false">IF(IFERROR(INDEX(tsk_Name,(ROW()-ROW(MSPTasks[[#Headers],[ID]])))="",TRUE()),"",IF(INDEX(tsk_IsSummary,(ROW()-ROW(MSPTasks[[#Headers],[ID]]))),"",ROUND(INDEX(tsk_Progress,(ROW()-ROW(MSPTasks[[#Headers],[ID]])))*100,0)))</f>
        <v/>
      </c>
      <c r="M168" s="126" t="str">
        <f aca="false">IF(IFERROR(INDEX(tsk_Name,(ROW()-ROW(MSPTasks[[#Headers],[ID]])))="",TRUE()),"",IF(N(INDEX(tsk_ActStart,(ROW()-ROW(MSPTasks[[#Headers],[ID]]))))=0,"",INDEX(tsk_ActStart,(ROW()-ROW(MSPTasks[[#Headers],[ID]])))))</f>
        <v/>
      </c>
      <c r="N168" s="126" t="str">
        <f aca="false">IF(IFERROR(INDEX(tsk_Name,(ROW()-ROW(MSPTasks[[#Headers],[ID]])))="",TRUE()),"",IF(N(INDEX(tsk_ActFinish,(ROW()-ROW(MSPTasks[[#Headers],[ID]]))))=0,"",INDEX(tsk_ActFinish,(ROW()-ROW(MSPTasks[[#Headers],[ID]])))))</f>
        <v/>
      </c>
      <c r="O168" s="126" t="str">
        <f aca="false">IF(IFERROR(INDEX(tsk_Name,(ROW()-ROW(MSPTasks[[#Headers],[ID]])))="",TRUE()),"",INDEX(tsk_PlanStart,(ROW()-ROW(MSPTasks[[#Headers],[ID]]))))</f>
        <v/>
      </c>
      <c r="P168" s="126"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8" s="126" t="str">
        <f aca="false">IF(IFERROR(INDEX(tsk_Name,(ROW()-ROW(MSPTasks[[#Headers],[ID]])))="",TRUE()),"",IF(OR(INDEX(tsk_IsSummary,(ROW()-ROW(MSPTasks[[#Headers],[ID]]))),INDEX(tsk_Mode,(ROW()-ROW(MSPTasks[[#Headers],[ID]])))="Manual"),"",IF(N(INDEX(tsk_ConstraintCode,(ROW()-ROW(MSPTasks[[#Headers],[ID]]))))&lt;2,"",INDEX(tsk_Constraint,(ROW()-ROW(MSPTasks[[#Headers],[ID]]))))))</f>
        <v/>
      </c>
      <c r="W168" s="126"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6" t="str">
        <f aca="false">IF(IFERROR(INDEX(tsk_Name,(ROW()-ROW(MSPTasks[[#Headers],[ID]])))="",TRUE()),"",INDEX(tsk_FcStart,(ROW()-ROW(MSPTasks[[#Headers],[ID]]))))</f>
        <v/>
      </c>
      <c r="H169" s="126"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IF(IFERROR(INDEX(tsk_Name,(ROW()-ROW(MSPTasks[[#Headers],[ID]])))="",TRUE()),"",INDEX(tsk_ResourceNames,(ROW()-ROW(MSPTasks[[#Headers],[ID]])))&amp;"")</f>
        <v/>
      </c>
      <c r="L169" s="24" t="str">
        <f aca="false">IF(IFERROR(INDEX(tsk_Name,(ROW()-ROW(MSPTasks[[#Headers],[ID]])))="",TRUE()),"",IF(INDEX(tsk_IsSummary,(ROW()-ROW(MSPTasks[[#Headers],[ID]]))),"",ROUND(INDEX(tsk_Progress,(ROW()-ROW(MSPTasks[[#Headers],[ID]])))*100,0)))</f>
        <v/>
      </c>
      <c r="M169" s="126" t="str">
        <f aca="false">IF(IFERROR(INDEX(tsk_Name,(ROW()-ROW(MSPTasks[[#Headers],[ID]])))="",TRUE()),"",IF(N(INDEX(tsk_ActStart,(ROW()-ROW(MSPTasks[[#Headers],[ID]]))))=0,"",INDEX(tsk_ActStart,(ROW()-ROW(MSPTasks[[#Headers],[ID]])))))</f>
        <v/>
      </c>
      <c r="N169" s="126" t="str">
        <f aca="false">IF(IFERROR(INDEX(tsk_Name,(ROW()-ROW(MSPTasks[[#Headers],[ID]])))="",TRUE()),"",IF(N(INDEX(tsk_ActFinish,(ROW()-ROW(MSPTasks[[#Headers],[ID]]))))=0,"",INDEX(tsk_ActFinish,(ROW()-ROW(MSPTasks[[#Headers],[ID]])))))</f>
        <v/>
      </c>
      <c r="O169" s="126" t="str">
        <f aca="false">IF(IFERROR(INDEX(tsk_Name,(ROW()-ROW(MSPTasks[[#Headers],[ID]])))="",TRUE()),"",INDEX(tsk_PlanStart,(ROW()-ROW(MSPTasks[[#Headers],[ID]]))))</f>
        <v/>
      </c>
      <c r="P169" s="126"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9" s="126" t="str">
        <f aca="false">IF(IFERROR(INDEX(tsk_Name,(ROW()-ROW(MSPTasks[[#Headers],[ID]])))="",TRUE()),"",IF(OR(INDEX(tsk_IsSummary,(ROW()-ROW(MSPTasks[[#Headers],[ID]]))),INDEX(tsk_Mode,(ROW()-ROW(MSPTasks[[#Headers],[ID]])))="Manual"),"",IF(N(INDEX(tsk_ConstraintCode,(ROW()-ROW(MSPTasks[[#Headers],[ID]]))))&lt;2,"",INDEX(tsk_Constraint,(ROW()-ROW(MSPTasks[[#Headers],[ID]]))))))</f>
        <v/>
      </c>
      <c r="W169" s="126"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6" t="str">
        <f aca="false">IF(IFERROR(INDEX(tsk_Name,(ROW()-ROW(MSPTasks[[#Headers],[ID]])))="",TRUE()),"",INDEX(tsk_FcStart,(ROW()-ROW(MSPTasks[[#Headers],[ID]]))))</f>
        <v/>
      </c>
      <c r="H170" s="126"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IF(IFERROR(INDEX(tsk_Name,(ROW()-ROW(MSPTasks[[#Headers],[ID]])))="",TRUE()),"",INDEX(tsk_ResourceNames,(ROW()-ROW(MSPTasks[[#Headers],[ID]])))&amp;"")</f>
        <v/>
      </c>
      <c r="L170" s="24" t="str">
        <f aca="false">IF(IFERROR(INDEX(tsk_Name,(ROW()-ROW(MSPTasks[[#Headers],[ID]])))="",TRUE()),"",IF(INDEX(tsk_IsSummary,(ROW()-ROW(MSPTasks[[#Headers],[ID]]))),"",ROUND(INDEX(tsk_Progress,(ROW()-ROW(MSPTasks[[#Headers],[ID]])))*100,0)))</f>
        <v/>
      </c>
      <c r="M170" s="126" t="str">
        <f aca="false">IF(IFERROR(INDEX(tsk_Name,(ROW()-ROW(MSPTasks[[#Headers],[ID]])))="",TRUE()),"",IF(N(INDEX(tsk_ActStart,(ROW()-ROW(MSPTasks[[#Headers],[ID]]))))=0,"",INDEX(tsk_ActStart,(ROW()-ROW(MSPTasks[[#Headers],[ID]])))))</f>
        <v/>
      </c>
      <c r="N170" s="126" t="str">
        <f aca="false">IF(IFERROR(INDEX(tsk_Name,(ROW()-ROW(MSPTasks[[#Headers],[ID]])))="",TRUE()),"",IF(N(INDEX(tsk_ActFinish,(ROW()-ROW(MSPTasks[[#Headers],[ID]]))))=0,"",INDEX(tsk_ActFinish,(ROW()-ROW(MSPTasks[[#Headers],[ID]])))))</f>
        <v/>
      </c>
      <c r="O170" s="126" t="str">
        <f aca="false">IF(IFERROR(INDEX(tsk_Name,(ROW()-ROW(MSPTasks[[#Headers],[ID]])))="",TRUE()),"",INDEX(tsk_PlanStart,(ROW()-ROW(MSPTasks[[#Headers],[ID]]))))</f>
        <v/>
      </c>
      <c r="P170" s="126"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0" s="126" t="str">
        <f aca="false">IF(IFERROR(INDEX(tsk_Name,(ROW()-ROW(MSPTasks[[#Headers],[ID]])))="",TRUE()),"",IF(OR(INDEX(tsk_IsSummary,(ROW()-ROW(MSPTasks[[#Headers],[ID]]))),INDEX(tsk_Mode,(ROW()-ROW(MSPTasks[[#Headers],[ID]])))="Manual"),"",IF(N(INDEX(tsk_ConstraintCode,(ROW()-ROW(MSPTasks[[#Headers],[ID]]))))&lt;2,"",INDEX(tsk_Constraint,(ROW()-ROW(MSPTasks[[#Headers],[ID]]))))))</f>
        <v/>
      </c>
      <c r="W170" s="126"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6" t="str">
        <f aca="false">IF(IFERROR(INDEX(tsk_Name,(ROW()-ROW(MSPTasks[[#Headers],[ID]])))="",TRUE()),"",INDEX(tsk_FcStart,(ROW()-ROW(MSPTasks[[#Headers],[ID]]))))</f>
        <v/>
      </c>
      <c r="H171" s="126"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IF(IFERROR(INDEX(tsk_Name,(ROW()-ROW(MSPTasks[[#Headers],[ID]])))="",TRUE()),"",INDEX(tsk_ResourceNames,(ROW()-ROW(MSPTasks[[#Headers],[ID]])))&amp;"")</f>
        <v/>
      </c>
      <c r="L171" s="24" t="str">
        <f aca="false">IF(IFERROR(INDEX(tsk_Name,(ROW()-ROW(MSPTasks[[#Headers],[ID]])))="",TRUE()),"",IF(INDEX(tsk_IsSummary,(ROW()-ROW(MSPTasks[[#Headers],[ID]]))),"",ROUND(INDEX(tsk_Progress,(ROW()-ROW(MSPTasks[[#Headers],[ID]])))*100,0)))</f>
        <v/>
      </c>
      <c r="M171" s="126" t="str">
        <f aca="false">IF(IFERROR(INDEX(tsk_Name,(ROW()-ROW(MSPTasks[[#Headers],[ID]])))="",TRUE()),"",IF(N(INDEX(tsk_ActStart,(ROW()-ROW(MSPTasks[[#Headers],[ID]]))))=0,"",INDEX(tsk_ActStart,(ROW()-ROW(MSPTasks[[#Headers],[ID]])))))</f>
        <v/>
      </c>
      <c r="N171" s="126" t="str">
        <f aca="false">IF(IFERROR(INDEX(tsk_Name,(ROW()-ROW(MSPTasks[[#Headers],[ID]])))="",TRUE()),"",IF(N(INDEX(tsk_ActFinish,(ROW()-ROW(MSPTasks[[#Headers],[ID]]))))=0,"",INDEX(tsk_ActFinish,(ROW()-ROW(MSPTasks[[#Headers],[ID]])))))</f>
        <v/>
      </c>
      <c r="O171" s="126" t="str">
        <f aca="false">IF(IFERROR(INDEX(tsk_Name,(ROW()-ROW(MSPTasks[[#Headers],[ID]])))="",TRUE()),"",INDEX(tsk_PlanStart,(ROW()-ROW(MSPTasks[[#Headers],[ID]]))))</f>
        <v/>
      </c>
      <c r="P171" s="126"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1" s="126" t="str">
        <f aca="false">IF(IFERROR(INDEX(tsk_Name,(ROW()-ROW(MSPTasks[[#Headers],[ID]])))="",TRUE()),"",IF(OR(INDEX(tsk_IsSummary,(ROW()-ROW(MSPTasks[[#Headers],[ID]]))),INDEX(tsk_Mode,(ROW()-ROW(MSPTasks[[#Headers],[ID]])))="Manual"),"",IF(N(INDEX(tsk_ConstraintCode,(ROW()-ROW(MSPTasks[[#Headers],[ID]]))))&lt;2,"",INDEX(tsk_Constraint,(ROW()-ROW(MSPTasks[[#Headers],[ID]]))))))</f>
        <v/>
      </c>
      <c r="W171" s="126"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6" t="str">
        <f aca="false">IF(IFERROR(INDEX(tsk_Name,(ROW()-ROW(MSPTasks[[#Headers],[ID]])))="",TRUE()),"",INDEX(tsk_FcStart,(ROW()-ROW(MSPTasks[[#Headers],[ID]]))))</f>
        <v/>
      </c>
      <c r="H172" s="126"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IF(IFERROR(INDEX(tsk_Name,(ROW()-ROW(MSPTasks[[#Headers],[ID]])))="",TRUE()),"",INDEX(tsk_ResourceNames,(ROW()-ROW(MSPTasks[[#Headers],[ID]])))&amp;"")</f>
        <v/>
      </c>
      <c r="L172" s="24" t="str">
        <f aca="false">IF(IFERROR(INDEX(tsk_Name,(ROW()-ROW(MSPTasks[[#Headers],[ID]])))="",TRUE()),"",IF(INDEX(tsk_IsSummary,(ROW()-ROW(MSPTasks[[#Headers],[ID]]))),"",ROUND(INDEX(tsk_Progress,(ROW()-ROW(MSPTasks[[#Headers],[ID]])))*100,0)))</f>
        <v/>
      </c>
      <c r="M172" s="126" t="str">
        <f aca="false">IF(IFERROR(INDEX(tsk_Name,(ROW()-ROW(MSPTasks[[#Headers],[ID]])))="",TRUE()),"",IF(N(INDEX(tsk_ActStart,(ROW()-ROW(MSPTasks[[#Headers],[ID]]))))=0,"",INDEX(tsk_ActStart,(ROW()-ROW(MSPTasks[[#Headers],[ID]])))))</f>
        <v/>
      </c>
      <c r="N172" s="126" t="str">
        <f aca="false">IF(IFERROR(INDEX(tsk_Name,(ROW()-ROW(MSPTasks[[#Headers],[ID]])))="",TRUE()),"",IF(N(INDEX(tsk_ActFinish,(ROW()-ROW(MSPTasks[[#Headers],[ID]]))))=0,"",INDEX(tsk_ActFinish,(ROW()-ROW(MSPTasks[[#Headers],[ID]])))))</f>
        <v/>
      </c>
      <c r="O172" s="126" t="str">
        <f aca="false">IF(IFERROR(INDEX(tsk_Name,(ROW()-ROW(MSPTasks[[#Headers],[ID]])))="",TRUE()),"",INDEX(tsk_PlanStart,(ROW()-ROW(MSPTasks[[#Headers],[ID]]))))</f>
        <v/>
      </c>
      <c r="P172" s="126"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2" s="126" t="str">
        <f aca="false">IF(IFERROR(INDEX(tsk_Name,(ROW()-ROW(MSPTasks[[#Headers],[ID]])))="",TRUE()),"",IF(OR(INDEX(tsk_IsSummary,(ROW()-ROW(MSPTasks[[#Headers],[ID]]))),INDEX(tsk_Mode,(ROW()-ROW(MSPTasks[[#Headers],[ID]])))="Manual"),"",IF(N(INDEX(tsk_ConstraintCode,(ROW()-ROW(MSPTasks[[#Headers],[ID]]))))&lt;2,"",INDEX(tsk_Constraint,(ROW()-ROW(MSPTasks[[#Headers],[ID]]))))))</f>
        <v/>
      </c>
      <c r="W172" s="126"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6" t="str">
        <f aca="false">IF(IFERROR(INDEX(tsk_Name,(ROW()-ROW(MSPTasks[[#Headers],[ID]])))="",TRUE()),"",INDEX(tsk_FcStart,(ROW()-ROW(MSPTasks[[#Headers],[ID]]))))</f>
        <v/>
      </c>
      <c r="H173" s="126"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IF(IFERROR(INDEX(tsk_Name,(ROW()-ROW(MSPTasks[[#Headers],[ID]])))="",TRUE()),"",INDEX(tsk_ResourceNames,(ROW()-ROW(MSPTasks[[#Headers],[ID]])))&amp;"")</f>
        <v/>
      </c>
      <c r="L173" s="24" t="str">
        <f aca="false">IF(IFERROR(INDEX(tsk_Name,(ROW()-ROW(MSPTasks[[#Headers],[ID]])))="",TRUE()),"",IF(INDEX(tsk_IsSummary,(ROW()-ROW(MSPTasks[[#Headers],[ID]]))),"",ROUND(INDEX(tsk_Progress,(ROW()-ROW(MSPTasks[[#Headers],[ID]])))*100,0)))</f>
        <v/>
      </c>
      <c r="M173" s="126" t="str">
        <f aca="false">IF(IFERROR(INDEX(tsk_Name,(ROW()-ROW(MSPTasks[[#Headers],[ID]])))="",TRUE()),"",IF(N(INDEX(tsk_ActStart,(ROW()-ROW(MSPTasks[[#Headers],[ID]]))))=0,"",INDEX(tsk_ActStart,(ROW()-ROW(MSPTasks[[#Headers],[ID]])))))</f>
        <v/>
      </c>
      <c r="N173" s="126" t="str">
        <f aca="false">IF(IFERROR(INDEX(tsk_Name,(ROW()-ROW(MSPTasks[[#Headers],[ID]])))="",TRUE()),"",IF(N(INDEX(tsk_ActFinish,(ROW()-ROW(MSPTasks[[#Headers],[ID]]))))=0,"",INDEX(tsk_ActFinish,(ROW()-ROW(MSPTasks[[#Headers],[ID]])))))</f>
        <v/>
      </c>
      <c r="O173" s="126" t="str">
        <f aca="false">IF(IFERROR(INDEX(tsk_Name,(ROW()-ROW(MSPTasks[[#Headers],[ID]])))="",TRUE()),"",INDEX(tsk_PlanStart,(ROW()-ROW(MSPTasks[[#Headers],[ID]]))))</f>
        <v/>
      </c>
      <c r="P173" s="126"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3" s="126" t="str">
        <f aca="false">IF(IFERROR(INDEX(tsk_Name,(ROW()-ROW(MSPTasks[[#Headers],[ID]])))="",TRUE()),"",IF(OR(INDEX(tsk_IsSummary,(ROW()-ROW(MSPTasks[[#Headers],[ID]]))),INDEX(tsk_Mode,(ROW()-ROW(MSPTasks[[#Headers],[ID]])))="Manual"),"",IF(N(INDEX(tsk_ConstraintCode,(ROW()-ROW(MSPTasks[[#Headers],[ID]]))))&lt;2,"",INDEX(tsk_Constraint,(ROW()-ROW(MSPTasks[[#Headers],[ID]]))))))</f>
        <v/>
      </c>
      <c r="W173" s="126"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6" t="str">
        <f aca="false">IF(IFERROR(INDEX(tsk_Name,(ROW()-ROW(MSPTasks[[#Headers],[ID]])))="",TRUE()),"",INDEX(tsk_FcStart,(ROW()-ROW(MSPTasks[[#Headers],[ID]]))))</f>
        <v/>
      </c>
      <c r="H174" s="126"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IF(IFERROR(INDEX(tsk_Name,(ROW()-ROW(MSPTasks[[#Headers],[ID]])))="",TRUE()),"",INDEX(tsk_ResourceNames,(ROW()-ROW(MSPTasks[[#Headers],[ID]])))&amp;"")</f>
        <v/>
      </c>
      <c r="L174" s="24" t="str">
        <f aca="false">IF(IFERROR(INDEX(tsk_Name,(ROW()-ROW(MSPTasks[[#Headers],[ID]])))="",TRUE()),"",IF(INDEX(tsk_IsSummary,(ROW()-ROW(MSPTasks[[#Headers],[ID]]))),"",ROUND(INDEX(tsk_Progress,(ROW()-ROW(MSPTasks[[#Headers],[ID]])))*100,0)))</f>
        <v/>
      </c>
      <c r="M174" s="126" t="str">
        <f aca="false">IF(IFERROR(INDEX(tsk_Name,(ROW()-ROW(MSPTasks[[#Headers],[ID]])))="",TRUE()),"",IF(N(INDEX(tsk_ActStart,(ROW()-ROW(MSPTasks[[#Headers],[ID]]))))=0,"",INDEX(tsk_ActStart,(ROW()-ROW(MSPTasks[[#Headers],[ID]])))))</f>
        <v/>
      </c>
      <c r="N174" s="126" t="str">
        <f aca="false">IF(IFERROR(INDEX(tsk_Name,(ROW()-ROW(MSPTasks[[#Headers],[ID]])))="",TRUE()),"",IF(N(INDEX(tsk_ActFinish,(ROW()-ROW(MSPTasks[[#Headers],[ID]]))))=0,"",INDEX(tsk_ActFinish,(ROW()-ROW(MSPTasks[[#Headers],[ID]])))))</f>
        <v/>
      </c>
      <c r="O174" s="126" t="str">
        <f aca="false">IF(IFERROR(INDEX(tsk_Name,(ROW()-ROW(MSPTasks[[#Headers],[ID]])))="",TRUE()),"",INDEX(tsk_PlanStart,(ROW()-ROW(MSPTasks[[#Headers],[ID]]))))</f>
        <v/>
      </c>
      <c r="P174" s="126"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4" s="126" t="str">
        <f aca="false">IF(IFERROR(INDEX(tsk_Name,(ROW()-ROW(MSPTasks[[#Headers],[ID]])))="",TRUE()),"",IF(OR(INDEX(tsk_IsSummary,(ROW()-ROW(MSPTasks[[#Headers],[ID]]))),INDEX(tsk_Mode,(ROW()-ROW(MSPTasks[[#Headers],[ID]])))="Manual"),"",IF(N(INDEX(tsk_ConstraintCode,(ROW()-ROW(MSPTasks[[#Headers],[ID]]))))&lt;2,"",INDEX(tsk_Constraint,(ROW()-ROW(MSPTasks[[#Headers],[ID]]))))))</f>
        <v/>
      </c>
      <c r="W174" s="126"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6" t="str">
        <f aca="false">IF(IFERROR(INDEX(tsk_Name,(ROW()-ROW(MSPTasks[[#Headers],[ID]])))="",TRUE()),"",INDEX(tsk_FcStart,(ROW()-ROW(MSPTasks[[#Headers],[ID]]))))</f>
        <v/>
      </c>
      <c r="H175" s="126"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IF(IFERROR(INDEX(tsk_Name,(ROW()-ROW(MSPTasks[[#Headers],[ID]])))="",TRUE()),"",INDEX(tsk_ResourceNames,(ROW()-ROW(MSPTasks[[#Headers],[ID]])))&amp;"")</f>
        <v/>
      </c>
      <c r="L175" s="24" t="str">
        <f aca="false">IF(IFERROR(INDEX(tsk_Name,(ROW()-ROW(MSPTasks[[#Headers],[ID]])))="",TRUE()),"",IF(INDEX(tsk_IsSummary,(ROW()-ROW(MSPTasks[[#Headers],[ID]]))),"",ROUND(INDEX(tsk_Progress,(ROW()-ROW(MSPTasks[[#Headers],[ID]])))*100,0)))</f>
        <v/>
      </c>
      <c r="M175" s="126" t="str">
        <f aca="false">IF(IFERROR(INDEX(tsk_Name,(ROW()-ROW(MSPTasks[[#Headers],[ID]])))="",TRUE()),"",IF(N(INDEX(tsk_ActStart,(ROW()-ROW(MSPTasks[[#Headers],[ID]]))))=0,"",INDEX(tsk_ActStart,(ROW()-ROW(MSPTasks[[#Headers],[ID]])))))</f>
        <v/>
      </c>
      <c r="N175" s="126" t="str">
        <f aca="false">IF(IFERROR(INDEX(tsk_Name,(ROW()-ROW(MSPTasks[[#Headers],[ID]])))="",TRUE()),"",IF(N(INDEX(tsk_ActFinish,(ROW()-ROW(MSPTasks[[#Headers],[ID]]))))=0,"",INDEX(tsk_ActFinish,(ROW()-ROW(MSPTasks[[#Headers],[ID]])))))</f>
        <v/>
      </c>
      <c r="O175" s="126" t="str">
        <f aca="false">IF(IFERROR(INDEX(tsk_Name,(ROW()-ROW(MSPTasks[[#Headers],[ID]])))="",TRUE()),"",INDEX(tsk_PlanStart,(ROW()-ROW(MSPTasks[[#Headers],[ID]]))))</f>
        <v/>
      </c>
      <c r="P175" s="126"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5" s="126" t="str">
        <f aca="false">IF(IFERROR(INDEX(tsk_Name,(ROW()-ROW(MSPTasks[[#Headers],[ID]])))="",TRUE()),"",IF(OR(INDEX(tsk_IsSummary,(ROW()-ROW(MSPTasks[[#Headers],[ID]]))),INDEX(tsk_Mode,(ROW()-ROW(MSPTasks[[#Headers],[ID]])))="Manual"),"",IF(N(INDEX(tsk_ConstraintCode,(ROW()-ROW(MSPTasks[[#Headers],[ID]]))))&lt;2,"",INDEX(tsk_Constraint,(ROW()-ROW(MSPTasks[[#Headers],[ID]]))))))</f>
        <v/>
      </c>
      <c r="W175" s="126"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6" t="str">
        <f aca="false">IF(IFERROR(INDEX(tsk_Name,(ROW()-ROW(MSPTasks[[#Headers],[ID]])))="",TRUE()),"",INDEX(tsk_FcStart,(ROW()-ROW(MSPTasks[[#Headers],[ID]]))))</f>
        <v/>
      </c>
      <c r="H176" s="126"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IF(IFERROR(INDEX(tsk_Name,(ROW()-ROW(MSPTasks[[#Headers],[ID]])))="",TRUE()),"",INDEX(tsk_ResourceNames,(ROW()-ROW(MSPTasks[[#Headers],[ID]])))&amp;"")</f>
        <v/>
      </c>
      <c r="L176" s="24" t="str">
        <f aca="false">IF(IFERROR(INDEX(tsk_Name,(ROW()-ROW(MSPTasks[[#Headers],[ID]])))="",TRUE()),"",IF(INDEX(tsk_IsSummary,(ROW()-ROW(MSPTasks[[#Headers],[ID]]))),"",ROUND(INDEX(tsk_Progress,(ROW()-ROW(MSPTasks[[#Headers],[ID]])))*100,0)))</f>
        <v/>
      </c>
      <c r="M176" s="126" t="str">
        <f aca="false">IF(IFERROR(INDEX(tsk_Name,(ROW()-ROW(MSPTasks[[#Headers],[ID]])))="",TRUE()),"",IF(N(INDEX(tsk_ActStart,(ROW()-ROW(MSPTasks[[#Headers],[ID]]))))=0,"",INDEX(tsk_ActStart,(ROW()-ROW(MSPTasks[[#Headers],[ID]])))))</f>
        <v/>
      </c>
      <c r="N176" s="126" t="str">
        <f aca="false">IF(IFERROR(INDEX(tsk_Name,(ROW()-ROW(MSPTasks[[#Headers],[ID]])))="",TRUE()),"",IF(N(INDEX(tsk_ActFinish,(ROW()-ROW(MSPTasks[[#Headers],[ID]]))))=0,"",INDEX(tsk_ActFinish,(ROW()-ROW(MSPTasks[[#Headers],[ID]])))))</f>
        <v/>
      </c>
      <c r="O176" s="126" t="str">
        <f aca="false">IF(IFERROR(INDEX(tsk_Name,(ROW()-ROW(MSPTasks[[#Headers],[ID]])))="",TRUE()),"",INDEX(tsk_PlanStart,(ROW()-ROW(MSPTasks[[#Headers],[ID]]))))</f>
        <v/>
      </c>
      <c r="P176" s="126"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6" s="126" t="str">
        <f aca="false">IF(IFERROR(INDEX(tsk_Name,(ROW()-ROW(MSPTasks[[#Headers],[ID]])))="",TRUE()),"",IF(OR(INDEX(tsk_IsSummary,(ROW()-ROW(MSPTasks[[#Headers],[ID]]))),INDEX(tsk_Mode,(ROW()-ROW(MSPTasks[[#Headers],[ID]])))="Manual"),"",IF(N(INDEX(tsk_ConstraintCode,(ROW()-ROW(MSPTasks[[#Headers],[ID]]))))&lt;2,"",INDEX(tsk_Constraint,(ROW()-ROW(MSPTasks[[#Headers],[ID]]))))))</f>
        <v/>
      </c>
      <c r="W176" s="126"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6" t="str">
        <f aca="false">IF(IFERROR(INDEX(tsk_Name,(ROW()-ROW(MSPTasks[[#Headers],[ID]])))="",TRUE()),"",INDEX(tsk_FcStart,(ROW()-ROW(MSPTasks[[#Headers],[ID]]))))</f>
        <v/>
      </c>
      <c r="H177" s="126"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IF(IFERROR(INDEX(tsk_Name,(ROW()-ROW(MSPTasks[[#Headers],[ID]])))="",TRUE()),"",INDEX(tsk_ResourceNames,(ROW()-ROW(MSPTasks[[#Headers],[ID]])))&amp;"")</f>
        <v/>
      </c>
      <c r="L177" s="24" t="str">
        <f aca="false">IF(IFERROR(INDEX(tsk_Name,(ROW()-ROW(MSPTasks[[#Headers],[ID]])))="",TRUE()),"",IF(INDEX(tsk_IsSummary,(ROW()-ROW(MSPTasks[[#Headers],[ID]]))),"",ROUND(INDEX(tsk_Progress,(ROW()-ROW(MSPTasks[[#Headers],[ID]])))*100,0)))</f>
        <v/>
      </c>
      <c r="M177" s="126" t="str">
        <f aca="false">IF(IFERROR(INDEX(tsk_Name,(ROW()-ROW(MSPTasks[[#Headers],[ID]])))="",TRUE()),"",IF(N(INDEX(tsk_ActStart,(ROW()-ROW(MSPTasks[[#Headers],[ID]]))))=0,"",INDEX(tsk_ActStart,(ROW()-ROW(MSPTasks[[#Headers],[ID]])))))</f>
        <v/>
      </c>
      <c r="N177" s="126" t="str">
        <f aca="false">IF(IFERROR(INDEX(tsk_Name,(ROW()-ROW(MSPTasks[[#Headers],[ID]])))="",TRUE()),"",IF(N(INDEX(tsk_ActFinish,(ROW()-ROW(MSPTasks[[#Headers],[ID]]))))=0,"",INDEX(tsk_ActFinish,(ROW()-ROW(MSPTasks[[#Headers],[ID]])))))</f>
        <v/>
      </c>
      <c r="O177" s="126" t="str">
        <f aca="false">IF(IFERROR(INDEX(tsk_Name,(ROW()-ROW(MSPTasks[[#Headers],[ID]])))="",TRUE()),"",INDEX(tsk_PlanStart,(ROW()-ROW(MSPTasks[[#Headers],[ID]]))))</f>
        <v/>
      </c>
      <c r="P177" s="126"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7" s="126" t="str">
        <f aca="false">IF(IFERROR(INDEX(tsk_Name,(ROW()-ROW(MSPTasks[[#Headers],[ID]])))="",TRUE()),"",IF(OR(INDEX(tsk_IsSummary,(ROW()-ROW(MSPTasks[[#Headers],[ID]]))),INDEX(tsk_Mode,(ROW()-ROW(MSPTasks[[#Headers],[ID]])))="Manual"),"",IF(N(INDEX(tsk_ConstraintCode,(ROW()-ROW(MSPTasks[[#Headers],[ID]]))))&lt;2,"",INDEX(tsk_Constraint,(ROW()-ROW(MSPTasks[[#Headers],[ID]]))))))</f>
        <v/>
      </c>
      <c r="W177" s="126"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6" t="str">
        <f aca="false">IF(IFERROR(INDEX(tsk_Name,(ROW()-ROW(MSPTasks[[#Headers],[ID]])))="",TRUE()),"",INDEX(tsk_FcStart,(ROW()-ROW(MSPTasks[[#Headers],[ID]]))))</f>
        <v/>
      </c>
      <c r="H178" s="126"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IF(IFERROR(INDEX(tsk_Name,(ROW()-ROW(MSPTasks[[#Headers],[ID]])))="",TRUE()),"",INDEX(tsk_ResourceNames,(ROW()-ROW(MSPTasks[[#Headers],[ID]])))&amp;"")</f>
        <v/>
      </c>
      <c r="L178" s="24" t="str">
        <f aca="false">IF(IFERROR(INDEX(tsk_Name,(ROW()-ROW(MSPTasks[[#Headers],[ID]])))="",TRUE()),"",IF(INDEX(tsk_IsSummary,(ROW()-ROW(MSPTasks[[#Headers],[ID]]))),"",ROUND(INDEX(tsk_Progress,(ROW()-ROW(MSPTasks[[#Headers],[ID]])))*100,0)))</f>
        <v/>
      </c>
      <c r="M178" s="126" t="str">
        <f aca="false">IF(IFERROR(INDEX(tsk_Name,(ROW()-ROW(MSPTasks[[#Headers],[ID]])))="",TRUE()),"",IF(N(INDEX(tsk_ActStart,(ROW()-ROW(MSPTasks[[#Headers],[ID]]))))=0,"",INDEX(tsk_ActStart,(ROW()-ROW(MSPTasks[[#Headers],[ID]])))))</f>
        <v/>
      </c>
      <c r="N178" s="126" t="str">
        <f aca="false">IF(IFERROR(INDEX(tsk_Name,(ROW()-ROW(MSPTasks[[#Headers],[ID]])))="",TRUE()),"",IF(N(INDEX(tsk_ActFinish,(ROW()-ROW(MSPTasks[[#Headers],[ID]]))))=0,"",INDEX(tsk_ActFinish,(ROW()-ROW(MSPTasks[[#Headers],[ID]])))))</f>
        <v/>
      </c>
      <c r="O178" s="126" t="str">
        <f aca="false">IF(IFERROR(INDEX(tsk_Name,(ROW()-ROW(MSPTasks[[#Headers],[ID]])))="",TRUE()),"",INDEX(tsk_PlanStart,(ROW()-ROW(MSPTasks[[#Headers],[ID]]))))</f>
        <v/>
      </c>
      <c r="P178" s="126"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8" s="126" t="str">
        <f aca="false">IF(IFERROR(INDEX(tsk_Name,(ROW()-ROW(MSPTasks[[#Headers],[ID]])))="",TRUE()),"",IF(OR(INDEX(tsk_IsSummary,(ROW()-ROW(MSPTasks[[#Headers],[ID]]))),INDEX(tsk_Mode,(ROW()-ROW(MSPTasks[[#Headers],[ID]])))="Manual"),"",IF(N(INDEX(tsk_ConstraintCode,(ROW()-ROW(MSPTasks[[#Headers],[ID]]))))&lt;2,"",INDEX(tsk_Constraint,(ROW()-ROW(MSPTasks[[#Headers],[ID]]))))))</f>
        <v/>
      </c>
      <c r="W178" s="126"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6" t="str">
        <f aca="false">IF(IFERROR(INDEX(tsk_Name,(ROW()-ROW(MSPTasks[[#Headers],[ID]])))="",TRUE()),"",INDEX(tsk_FcStart,(ROW()-ROW(MSPTasks[[#Headers],[ID]]))))</f>
        <v/>
      </c>
      <c r="H179" s="126"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IF(IFERROR(INDEX(tsk_Name,(ROW()-ROW(MSPTasks[[#Headers],[ID]])))="",TRUE()),"",INDEX(tsk_ResourceNames,(ROW()-ROW(MSPTasks[[#Headers],[ID]])))&amp;"")</f>
        <v/>
      </c>
      <c r="L179" s="24" t="str">
        <f aca="false">IF(IFERROR(INDEX(tsk_Name,(ROW()-ROW(MSPTasks[[#Headers],[ID]])))="",TRUE()),"",IF(INDEX(tsk_IsSummary,(ROW()-ROW(MSPTasks[[#Headers],[ID]]))),"",ROUND(INDEX(tsk_Progress,(ROW()-ROW(MSPTasks[[#Headers],[ID]])))*100,0)))</f>
        <v/>
      </c>
      <c r="M179" s="126" t="str">
        <f aca="false">IF(IFERROR(INDEX(tsk_Name,(ROW()-ROW(MSPTasks[[#Headers],[ID]])))="",TRUE()),"",IF(N(INDEX(tsk_ActStart,(ROW()-ROW(MSPTasks[[#Headers],[ID]]))))=0,"",INDEX(tsk_ActStart,(ROW()-ROW(MSPTasks[[#Headers],[ID]])))))</f>
        <v/>
      </c>
      <c r="N179" s="126" t="str">
        <f aca="false">IF(IFERROR(INDEX(tsk_Name,(ROW()-ROW(MSPTasks[[#Headers],[ID]])))="",TRUE()),"",IF(N(INDEX(tsk_ActFinish,(ROW()-ROW(MSPTasks[[#Headers],[ID]]))))=0,"",INDEX(tsk_ActFinish,(ROW()-ROW(MSPTasks[[#Headers],[ID]])))))</f>
        <v/>
      </c>
      <c r="O179" s="126" t="str">
        <f aca="false">IF(IFERROR(INDEX(tsk_Name,(ROW()-ROW(MSPTasks[[#Headers],[ID]])))="",TRUE()),"",INDEX(tsk_PlanStart,(ROW()-ROW(MSPTasks[[#Headers],[ID]]))))</f>
        <v/>
      </c>
      <c r="P179" s="126"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9" s="126" t="str">
        <f aca="false">IF(IFERROR(INDEX(tsk_Name,(ROW()-ROW(MSPTasks[[#Headers],[ID]])))="",TRUE()),"",IF(OR(INDEX(tsk_IsSummary,(ROW()-ROW(MSPTasks[[#Headers],[ID]]))),INDEX(tsk_Mode,(ROW()-ROW(MSPTasks[[#Headers],[ID]])))="Manual"),"",IF(N(INDEX(tsk_ConstraintCode,(ROW()-ROW(MSPTasks[[#Headers],[ID]]))))&lt;2,"",INDEX(tsk_Constraint,(ROW()-ROW(MSPTasks[[#Headers],[ID]]))))))</f>
        <v/>
      </c>
      <c r="W179" s="126"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6" t="str">
        <f aca="false">IF(IFERROR(INDEX(tsk_Name,(ROW()-ROW(MSPTasks[[#Headers],[ID]])))="",TRUE()),"",INDEX(tsk_FcStart,(ROW()-ROW(MSPTasks[[#Headers],[ID]]))))</f>
        <v/>
      </c>
      <c r="H180" s="126"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IF(IFERROR(INDEX(tsk_Name,(ROW()-ROW(MSPTasks[[#Headers],[ID]])))="",TRUE()),"",INDEX(tsk_ResourceNames,(ROW()-ROW(MSPTasks[[#Headers],[ID]])))&amp;"")</f>
        <v/>
      </c>
      <c r="L180" s="24" t="str">
        <f aca="false">IF(IFERROR(INDEX(tsk_Name,(ROW()-ROW(MSPTasks[[#Headers],[ID]])))="",TRUE()),"",IF(INDEX(tsk_IsSummary,(ROW()-ROW(MSPTasks[[#Headers],[ID]]))),"",ROUND(INDEX(tsk_Progress,(ROW()-ROW(MSPTasks[[#Headers],[ID]])))*100,0)))</f>
        <v/>
      </c>
      <c r="M180" s="126" t="str">
        <f aca="false">IF(IFERROR(INDEX(tsk_Name,(ROW()-ROW(MSPTasks[[#Headers],[ID]])))="",TRUE()),"",IF(N(INDEX(tsk_ActStart,(ROW()-ROW(MSPTasks[[#Headers],[ID]]))))=0,"",INDEX(tsk_ActStart,(ROW()-ROW(MSPTasks[[#Headers],[ID]])))))</f>
        <v/>
      </c>
      <c r="N180" s="126" t="str">
        <f aca="false">IF(IFERROR(INDEX(tsk_Name,(ROW()-ROW(MSPTasks[[#Headers],[ID]])))="",TRUE()),"",IF(N(INDEX(tsk_ActFinish,(ROW()-ROW(MSPTasks[[#Headers],[ID]]))))=0,"",INDEX(tsk_ActFinish,(ROW()-ROW(MSPTasks[[#Headers],[ID]])))))</f>
        <v/>
      </c>
      <c r="O180" s="126" t="str">
        <f aca="false">IF(IFERROR(INDEX(tsk_Name,(ROW()-ROW(MSPTasks[[#Headers],[ID]])))="",TRUE()),"",INDEX(tsk_PlanStart,(ROW()-ROW(MSPTasks[[#Headers],[ID]]))))</f>
        <v/>
      </c>
      <c r="P180" s="126"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0" s="126" t="str">
        <f aca="false">IF(IFERROR(INDEX(tsk_Name,(ROW()-ROW(MSPTasks[[#Headers],[ID]])))="",TRUE()),"",IF(OR(INDEX(tsk_IsSummary,(ROW()-ROW(MSPTasks[[#Headers],[ID]]))),INDEX(tsk_Mode,(ROW()-ROW(MSPTasks[[#Headers],[ID]])))="Manual"),"",IF(N(INDEX(tsk_ConstraintCode,(ROW()-ROW(MSPTasks[[#Headers],[ID]]))))&lt;2,"",INDEX(tsk_Constraint,(ROW()-ROW(MSPTasks[[#Headers],[ID]]))))))</f>
        <v/>
      </c>
      <c r="W180" s="126"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6" t="str">
        <f aca="false">IF(IFERROR(INDEX(tsk_Name,(ROW()-ROW(MSPTasks[[#Headers],[ID]])))="",TRUE()),"",INDEX(tsk_FcStart,(ROW()-ROW(MSPTasks[[#Headers],[ID]]))))</f>
        <v/>
      </c>
      <c r="H181" s="126"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IF(IFERROR(INDEX(tsk_Name,(ROW()-ROW(MSPTasks[[#Headers],[ID]])))="",TRUE()),"",INDEX(tsk_ResourceNames,(ROW()-ROW(MSPTasks[[#Headers],[ID]])))&amp;"")</f>
        <v/>
      </c>
      <c r="L181" s="24" t="str">
        <f aca="false">IF(IFERROR(INDEX(tsk_Name,(ROW()-ROW(MSPTasks[[#Headers],[ID]])))="",TRUE()),"",IF(INDEX(tsk_IsSummary,(ROW()-ROW(MSPTasks[[#Headers],[ID]]))),"",ROUND(INDEX(tsk_Progress,(ROW()-ROW(MSPTasks[[#Headers],[ID]])))*100,0)))</f>
        <v/>
      </c>
      <c r="M181" s="126" t="str">
        <f aca="false">IF(IFERROR(INDEX(tsk_Name,(ROW()-ROW(MSPTasks[[#Headers],[ID]])))="",TRUE()),"",IF(N(INDEX(tsk_ActStart,(ROW()-ROW(MSPTasks[[#Headers],[ID]]))))=0,"",INDEX(tsk_ActStart,(ROW()-ROW(MSPTasks[[#Headers],[ID]])))))</f>
        <v/>
      </c>
      <c r="N181" s="126" t="str">
        <f aca="false">IF(IFERROR(INDEX(tsk_Name,(ROW()-ROW(MSPTasks[[#Headers],[ID]])))="",TRUE()),"",IF(N(INDEX(tsk_ActFinish,(ROW()-ROW(MSPTasks[[#Headers],[ID]]))))=0,"",INDEX(tsk_ActFinish,(ROW()-ROW(MSPTasks[[#Headers],[ID]])))))</f>
        <v/>
      </c>
      <c r="O181" s="126" t="str">
        <f aca="false">IF(IFERROR(INDEX(tsk_Name,(ROW()-ROW(MSPTasks[[#Headers],[ID]])))="",TRUE()),"",INDEX(tsk_PlanStart,(ROW()-ROW(MSPTasks[[#Headers],[ID]]))))</f>
        <v/>
      </c>
      <c r="P181" s="126"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1" s="126" t="str">
        <f aca="false">IF(IFERROR(INDEX(tsk_Name,(ROW()-ROW(MSPTasks[[#Headers],[ID]])))="",TRUE()),"",IF(OR(INDEX(tsk_IsSummary,(ROW()-ROW(MSPTasks[[#Headers],[ID]]))),INDEX(tsk_Mode,(ROW()-ROW(MSPTasks[[#Headers],[ID]])))="Manual"),"",IF(N(INDEX(tsk_ConstraintCode,(ROW()-ROW(MSPTasks[[#Headers],[ID]]))))&lt;2,"",INDEX(tsk_Constraint,(ROW()-ROW(MSPTasks[[#Headers],[ID]]))))))</f>
        <v/>
      </c>
      <c r="W181" s="126"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6" t="str">
        <f aca="false">IF(IFERROR(INDEX(tsk_Name,(ROW()-ROW(MSPTasks[[#Headers],[ID]])))="",TRUE()),"",INDEX(tsk_FcStart,(ROW()-ROW(MSPTasks[[#Headers],[ID]]))))</f>
        <v/>
      </c>
      <c r="H182" s="126"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IF(IFERROR(INDEX(tsk_Name,(ROW()-ROW(MSPTasks[[#Headers],[ID]])))="",TRUE()),"",INDEX(tsk_ResourceNames,(ROW()-ROW(MSPTasks[[#Headers],[ID]])))&amp;"")</f>
        <v/>
      </c>
      <c r="L182" s="24" t="str">
        <f aca="false">IF(IFERROR(INDEX(tsk_Name,(ROW()-ROW(MSPTasks[[#Headers],[ID]])))="",TRUE()),"",IF(INDEX(tsk_IsSummary,(ROW()-ROW(MSPTasks[[#Headers],[ID]]))),"",ROUND(INDEX(tsk_Progress,(ROW()-ROW(MSPTasks[[#Headers],[ID]])))*100,0)))</f>
        <v/>
      </c>
      <c r="M182" s="126" t="str">
        <f aca="false">IF(IFERROR(INDEX(tsk_Name,(ROW()-ROW(MSPTasks[[#Headers],[ID]])))="",TRUE()),"",IF(N(INDEX(tsk_ActStart,(ROW()-ROW(MSPTasks[[#Headers],[ID]]))))=0,"",INDEX(tsk_ActStart,(ROW()-ROW(MSPTasks[[#Headers],[ID]])))))</f>
        <v/>
      </c>
      <c r="N182" s="126" t="str">
        <f aca="false">IF(IFERROR(INDEX(tsk_Name,(ROW()-ROW(MSPTasks[[#Headers],[ID]])))="",TRUE()),"",IF(N(INDEX(tsk_ActFinish,(ROW()-ROW(MSPTasks[[#Headers],[ID]]))))=0,"",INDEX(tsk_ActFinish,(ROW()-ROW(MSPTasks[[#Headers],[ID]])))))</f>
        <v/>
      </c>
      <c r="O182" s="126" t="str">
        <f aca="false">IF(IFERROR(INDEX(tsk_Name,(ROW()-ROW(MSPTasks[[#Headers],[ID]])))="",TRUE()),"",INDEX(tsk_PlanStart,(ROW()-ROW(MSPTasks[[#Headers],[ID]]))))</f>
        <v/>
      </c>
      <c r="P182" s="126"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2" s="126" t="str">
        <f aca="false">IF(IFERROR(INDEX(tsk_Name,(ROW()-ROW(MSPTasks[[#Headers],[ID]])))="",TRUE()),"",IF(OR(INDEX(tsk_IsSummary,(ROW()-ROW(MSPTasks[[#Headers],[ID]]))),INDEX(tsk_Mode,(ROW()-ROW(MSPTasks[[#Headers],[ID]])))="Manual"),"",IF(N(INDEX(tsk_ConstraintCode,(ROW()-ROW(MSPTasks[[#Headers],[ID]]))))&lt;2,"",INDEX(tsk_Constraint,(ROW()-ROW(MSPTasks[[#Headers],[ID]]))))))</f>
        <v/>
      </c>
      <c r="W182" s="126"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6" t="str">
        <f aca="false">IF(IFERROR(INDEX(tsk_Name,(ROW()-ROW(MSPTasks[[#Headers],[ID]])))="",TRUE()),"",INDEX(tsk_FcStart,(ROW()-ROW(MSPTasks[[#Headers],[ID]]))))</f>
        <v/>
      </c>
      <c r="H183" s="126"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IF(IFERROR(INDEX(tsk_Name,(ROW()-ROW(MSPTasks[[#Headers],[ID]])))="",TRUE()),"",INDEX(tsk_ResourceNames,(ROW()-ROW(MSPTasks[[#Headers],[ID]])))&amp;"")</f>
        <v/>
      </c>
      <c r="L183" s="24" t="str">
        <f aca="false">IF(IFERROR(INDEX(tsk_Name,(ROW()-ROW(MSPTasks[[#Headers],[ID]])))="",TRUE()),"",IF(INDEX(tsk_IsSummary,(ROW()-ROW(MSPTasks[[#Headers],[ID]]))),"",ROUND(INDEX(tsk_Progress,(ROW()-ROW(MSPTasks[[#Headers],[ID]])))*100,0)))</f>
        <v/>
      </c>
      <c r="M183" s="126" t="str">
        <f aca="false">IF(IFERROR(INDEX(tsk_Name,(ROW()-ROW(MSPTasks[[#Headers],[ID]])))="",TRUE()),"",IF(N(INDEX(tsk_ActStart,(ROW()-ROW(MSPTasks[[#Headers],[ID]]))))=0,"",INDEX(tsk_ActStart,(ROW()-ROW(MSPTasks[[#Headers],[ID]])))))</f>
        <v/>
      </c>
      <c r="N183" s="126" t="str">
        <f aca="false">IF(IFERROR(INDEX(tsk_Name,(ROW()-ROW(MSPTasks[[#Headers],[ID]])))="",TRUE()),"",IF(N(INDEX(tsk_ActFinish,(ROW()-ROW(MSPTasks[[#Headers],[ID]]))))=0,"",INDEX(tsk_ActFinish,(ROW()-ROW(MSPTasks[[#Headers],[ID]])))))</f>
        <v/>
      </c>
      <c r="O183" s="126" t="str">
        <f aca="false">IF(IFERROR(INDEX(tsk_Name,(ROW()-ROW(MSPTasks[[#Headers],[ID]])))="",TRUE()),"",INDEX(tsk_PlanStart,(ROW()-ROW(MSPTasks[[#Headers],[ID]]))))</f>
        <v/>
      </c>
      <c r="P183" s="126"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3" s="126" t="str">
        <f aca="false">IF(IFERROR(INDEX(tsk_Name,(ROW()-ROW(MSPTasks[[#Headers],[ID]])))="",TRUE()),"",IF(OR(INDEX(tsk_IsSummary,(ROW()-ROW(MSPTasks[[#Headers],[ID]]))),INDEX(tsk_Mode,(ROW()-ROW(MSPTasks[[#Headers],[ID]])))="Manual"),"",IF(N(INDEX(tsk_ConstraintCode,(ROW()-ROW(MSPTasks[[#Headers],[ID]]))))&lt;2,"",INDEX(tsk_Constraint,(ROW()-ROW(MSPTasks[[#Headers],[ID]]))))))</f>
        <v/>
      </c>
      <c r="W183" s="126"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6" t="str">
        <f aca="false">IF(IFERROR(INDEX(tsk_Name,(ROW()-ROW(MSPTasks[[#Headers],[ID]])))="",TRUE()),"",INDEX(tsk_FcStart,(ROW()-ROW(MSPTasks[[#Headers],[ID]]))))</f>
        <v/>
      </c>
      <c r="H184" s="126"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IF(IFERROR(INDEX(tsk_Name,(ROW()-ROW(MSPTasks[[#Headers],[ID]])))="",TRUE()),"",INDEX(tsk_ResourceNames,(ROW()-ROW(MSPTasks[[#Headers],[ID]])))&amp;"")</f>
        <v/>
      </c>
      <c r="L184" s="24" t="str">
        <f aca="false">IF(IFERROR(INDEX(tsk_Name,(ROW()-ROW(MSPTasks[[#Headers],[ID]])))="",TRUE()),"",IF(INDEX(tsk_IsSummary,(ROW()-ROW(MSPTasks[[#Headers],[ID]]))),"",ROUND(INDEX(tsk_Progress,(ROW()-ROW(MSPTasks[[#Headers],[ID]])))*100,0)))</f>
        <v/>
      </c>
      <c r="M184" s="126" t="str">
        <f aca="false">IF(IFERROR(INDEX(tsk_Name,(ROW()-ROW(MSPTasks[[#Headers],[ID]])))="",TRUE()),"",IF(N(INDEX(tsk_ActStart,(ROW()-ROW(MSPTasks[[#Headers],[ID]]))))=0,"",INDEX(tsk_ActStart,(ROW()-ROW(MSPTasks[[#Headers],[ID]])))))</f>
        <v/>
      </c>
      <c r="N184" s="126" t="str">
        <f aca="false">IF(IFERROR(INDEX(tsk_Name,(ROW()-ROW(MSPTasks[[#Headers],[ID]])))="",TRUE()),"",IF(N(INDEX(tsk_ActFinish,(ROW()-ROW(MSPTasks[[#Headers],[ID]]))))=0,"",INDEX(tsk_ActFinish,(ROW()-ROW(MSPTasks[[#Headers],[ID]])))))</f>
        <v/>
      </c>
      <c r="O184" s="126" t="str">
        <f aca="false">IF(IFERROR(INDEX(tsk_Name,(ROW()-ROW(MSPTasks[[#Headers],[ID]])))="",TRUE()),"",INDEX(tsk_PlanStart,(ROW()-ROW(MSPTasks[[#Headers],[ID]]))))</f>
        <v/>
      </c>
      <c r="P184" s="126"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4" s="126" t="str">
        <f aca="false">IF(IFERROR(INDEX(tsk_Name,(ROW()-ROW(MSPTasks[[#Headers],[ID]])))="",TRUE()),"",IF(OR(INDEX(tsk_IsSummary,(ROW()-ROW(MSPTasks[[#Headers],[ID]]))),INDEX(tsk_Mode,(ROW()-ROW(MSPTasks[[#Headers],[ID]])))="Manual"),"",IF(N(INDEX(tsk_ConstraintCode,(ROW()-ROW(MSPTasks[[#Headers],[ID]]))))&lt;2,"",INDEX(tsk_Constraint,(ROW()-ROW(MSPTasks[[#Headers],[ID]]))))))</f>
        <v/>
      </c>
      <c r="W184" s="126"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6" t="str">
        <f aca="false">IF(IFERROR(INDEX(tsk_Name,(ROW()-ROW(MSPTasks[[#Headers],[ID]])))="",TRUE()),"",INDEX(tsk_FcStart,(ROW()-ROW(MSPTasks[[#Headers],[ID]]))))</f>
        <v/>
      </c>
      <c r="H185" s="126"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IF(IFERROR(INDEX(tsk_Name,(ROW()-ROW(MSPTasks[[#Headers],[ID]])))="",TRUE()),"",INDEX(tsk_ResourceNames,(ROW()-ROW(MSPTasks[[#Headers],[ID]])))&amp;"")</f>
        <v/>
      </c>
      <c r="L185" s="24" t="str">
        <f aca="false">IF(IFERROR(INDEX(tsk_Name,(ROW()-ROW(MSPTasks[[#Headers],[ID]])))="",TRUE()),"",IF(INDEX(tsk_IsSummary,(ROW()-ROW(MSPTasks[[#Headers],[ID]]))),"",ROUND(INDEX(tsk_Progress,(ROW()-ROW(MSPTasks[[#Headers],[ID]])))*100,0)))</f>
        <v/>
      </c>
      <c r="M185" s="126" t="str">
        <f aca="false">IF(IFERROR(INDEX(tsk_Name,(ROW()-ROW(MSPTasks[[#Headers],[ID]])))="",TRUE()),"",IF(N(INDEX(tsk_ActStart,(ROW()-ROW(MSPTasks[[#Headers],[ID]]))))=0,"",INDEX(tsk_ActStart,(ROW()-ROW(MSPTasks[[#Headers],[ID]])))))</f>
        <v/>
      </c>
      <c r="N185" s="126" t="str">
        <f aca="false">IF(IFERROR(INDEX(tsk_Name,(ROW()-ROW(MSPTasks[[#Headers],[ID]])))="",TRUE()),"",IF(N(INDEX(tsk_ActFinish,(ROW()-ROW(MSPTasks[[#Headers],[ID]]))))=0,"",INDEX(tsk_ActFinish,(ROW()-ROW(MSPTasks[[#Headers],[ID]])))))</f>
        <v/>
      </c>
      <c r="O185" s="126" t="str">
        <f aca="false">IF(IFERROR(INDEX(tsk_Name,(ROW()-ROW(MSPTasks[[#Headers],[ID]])))="",TRUE()),"",INDEX(tsk_PlanStart,(ROW()-ROW(MSPTasks[[#Headers],[ID]]))))</f>
        <v/>
      </c>
      <c r="P185" s="126"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5" s="126" t="str">
        <f aca="false">IF(IFERROR(INDEX(tsk_Name,(ROW()-ROW(MSPTasks[[#Headers],[ID]])))="",TRUE()),"",IF(OR(INDEX(tsk_IsSummary,(ROW()-ROW(MSPTasks[[#Headers],[ID]]))),INDEX(tsk_Mode,(ROW()-ROW(MSPTasks[[#Headers],[ID]])))="Manual"),"",IF(N(INDEX(tsk_ConstraintCode,(ROW()-ROW(MSPTasks[[#Headers],[ID]]))))&lt;2,"",INDEX(tsk_Constraint,(ROW()-ROW(MSPTasks[[#Headers],[ID]]))))))</f>
        <v/>
      </c>
      <c r="W185" s="126"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6" t="str">
        <f aca="false">IF(IFERROR(INDEX(tsk_Name,(ROW()-ROW(MSPTasks[[#Headers],[ID]])))="",TRUE()),"",INDEX(tsk_FcStart,(ROW()-ROW(MSPTasks[[#Headers],[ID]]))))</f>
        <v/>
      </c>
      <c r="H186" s="126"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IF(IFERROR(INDEX(tsk_Name,(ROW()-ROW(MSPTasks[[#Headers],[ID]])))="",TRUE()),"",INDEX(tsk_ResourceNames,(ROW()-ROW(MSPTasks[[#Headers],[ID]])))&amp;"")</f>
        <v/>
      </c>
      <c r="L186" s="24" t="str">
        <f aca="false">IF(IFERROR(INDEX(tsk_Name,(ROW()-ROW(MSPTasks[[#Headers],[ID]])))="",TRUE()),"",IF(INDEX(tsk_IsSummary,(ROW()-ROW(MSPTasks[[#Headers],[ID]]))),"",ROUND(INDEX(tsk_Progress,(ROW()-ROW(MSPTasks[[#Headers],[ID]])))*100,0)))</f>
        <v/>
      </c>
      <c r="M186" s="126" t="str">
        <f aca="false">IF(IFERROR(INDEX(tsk_Name,(ROW()-ROW(MSPTasks[[#Headers],[ID]])))="",TRUE()),"",IF(N(INDEX(tsk_ActStart,(ROW()-ROW(MSPTasks[[#Headers],[ID]]))))=0,"",INDEX(tsk_ActStart,(ROW()-ROW(MSPTasks[[#Headers],[ID]])))))</f>
        <v/>
      </c>
      <c r="N186" s="126" t="str">
        <f aca="false">IF(IFERROR(INDEX(tsk_Name,(ROW()-ROW(MSPTasks[[#Headers],[ID]])))="",TRUE()),"",IF(N(INDEX(tsk_ActFinish,(ROW()-ROW(MSPTasks[[#Headers],[ID]]))))=0,"",INDEX(tsk_ActFinish,(ROW()-ROW(MSPTasks[[#Headers],[ID]])))))</f>
        <v/>
      </c>
      <c r="O186" s="126" t="str">
        <f aca="false">IF(IFERROR(INDEX(tsk_Name,(ROW()-ROW(MSPTasks[[#Headers],[ID]])))="",TRUE()),"",INDEX(tsk_PlanStart,(ROW()-ROW(MSPTasks[[#Headers],[ID]]))))</f>
        <v/>
      </c>
      <c r="P186" s="126"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6" s="126" t="str">
        <f aca="false">IF(IFERROR(INDEX(tsk_Name,(ROW()-ROW(MSPTasks[[#Headers],[ID]])))="",TRUE()),"",IF(OR(INDEX(tsk_IsSummary,(ROW()-ROW(MSPTasks[[#Headers],[ID]]))),INDEX(tsk_Mode,(ROW()-ROW(MSPTasks[[#Headers],[ID]])))="Manual"),"",IF(N(INDEX(tsk_ConstraintCode,(ROW()-ROW(MSPTasks[[#Headers],[ID]]))))&lt;2,"",INDEX(tsk_Constraint,(ROW()-ROW(MSPTasks[[#Headers],[ID]]))))))</f>
        <v/>
      </c>
      <c r="W186" s="126"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6" t="str">
        <f aca="false">IF(IFERROR(INDEX(tsk_Name,(ROW()-ROW(MSPTasks[[#Headers],[ID]])))="",TRUE()),"",INDEX(tsk_FcStart,(ROW()-ROW(MSPTasks[[#Headers],[ID]]))))</f>
        <v/>
      </c>
      <c r="H187" s="126"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IF(IFERROR(INDEX(tsk_Name,(ROW()-ROW(MSPTasks[[#Headers],[ID]])))="",TRUE()),"",INDEX(tsk_ResourceNames,(ROW()-ROW(MSPTasks[[#Headers],[ID]])))&amp;"")</f>
        <v/>
      </c>
      <c r="L187" s="24" t="str">
        <f aca="false">IF(IFERROR(INDEX(tsk_Name,(ROW()-ROW(MSPTasks[[#Headers],[ID]])))="",TRUE()),"",IF(INDEX(tsk_IsSummary,(ROW()-ROW(MSPTasks[[#Headers],[ID]]))),"",ROUND(INDEX(tsk_Progress,(ROW()-ROW(MSPTasks[[#Headers],[ID]])))*100,0)))</f>
        <v/>
      </c>
      <c r="M187" s="126" t="str">
        <f aca="false">IF(IFERROR(INDEX(tsk_Name,(ROW()-ROW(MSPTasks[[#Headers],[ID]])))="",TRUE()),"",IF(N(INDEX(tsk_ActStart,(ROW()-ROW(MSPTasks[[#Headers],[ID]]))))=0,"",INDEX(tsk_ActStart,(ROW()-ROW(MSPTasks[[#Headers],[ID]])))))</f>
        <v/>
      </c>
      <c r="N187" s="126" t="str">
        <f aca="false">IF(IFERROR(INDEX(tsk_Name,(ROW()-ROW(MSPTasks[[#Headers],[ID]])))="",TRUE()),"",IF(N(INDEX(tsk_ActFinish,(ROW()-ROW(MSPTasks[[#Headers],[ID]]))))=0,"",INDEX(tsk_ActFinish,(ROW()-ROW(MSPTasks[[#Headers],[ID]])))))</f>
        <v/>
      </c>
      <c r="O187" s="126" t="str">
        <f aca="false">IF(IFERROR(INDEX(tsk_Name,(ROW()-ROW(MSPTasks[[#Headers],[ID]])))="",TRUE()),"",INDEX(tsk_PlanStart,(ROW()-ROW(MSPTasks[[#Headers],[ID]]))))</f>
        <v/>
      </c>
      <c r="P187" s="126"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7" s="126" t="str">
        <f aca="false">IF(IFERROR(INDEX(tsk_Name,(ROW()-ROW(MSPTasks[[#Headers],[ID]])))="",TRUE()),"",IF(OR(INDEX(tsk_IsSummary,(ROW()-ROW(MSPTasks[[#Headers],[ID]]))),INDEX(tsk_Mode,(ROW()-ROW(MSPTasks[[#Headers],[ID]])))="Manual"),"",IF(N(INDEX(tsk_ConstraintCode,(ROW()-ROW(MSPTasks[[#Headers],[ID]]))))&lt;2,"",INDEX(tsk_Constraint,(ROW()-ROW(MSPTasks[[#Headers],[ID]]))))))</f>
        <v/>
      </c>
      <c r="W187" s="126"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6" t="str">
        <f aca="false">IF(IFERROR(INDEX(tsk_Name,(ROW()-ROW(MSPTasks[[#Headers],[ID]])))="",TRUE()),"",INDEX(tsk_FcStart,(ROW()-ROW(MSPTasks[[#Headers],[ID]]))))</f>
        <v/>
      </c>
      <c r="H188" s="126"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IF(IFERROR(INDEX(tsk_Name,(ROW()-ROW(MSPTasks[[#Headers],[ID]])))="",TRUE()),"",INDEX(tsk_ResourceNames,(ROW()-ROW(MSPTasks[[#Headers],[ID]])))&amp;"")</f>
        <v/>
      </c>
      <c r="L188" s="24" t="str">
        <f aca="false">IF(IFERROR(INDEX(tsk_Name,(ROW()-ROW(MSPTasks[[#Headers],[ID]])))="",TRUE()),"",IF(INDEX(tsk_IsSummary,(ROW()-ROW(MSPTasks[[#Headers],[ID]]))),"",ROUND(INDEX(tsk_Progress,(ROW()-ROW(MSPTasks[[#Headers],[ID]])))*100,0)))</f>
        <v/>
      </c>
      <c r="M188" s="126" t="str">
        <f aca="false">IF(IFERROR(INDEX(tsk_Name,(ROW()-ROW(MSPTasks[[#Headers],[ID]])))="",TRUE()),"",IF(N(INDEX(tsk_ActStart,(ROW()-ROW(MSPTasks[[#Headers],[ID]]))))=0,"",INDEX(tsk_ActStart,(ROW()-ROW(MSPTasks[[#Headers],[ID]])))))</f>
        <v/>
      </c>
      <c r="N188" s="126" t="str">
        <f aca="false">IF(IFERROR(INDEX(tsk_Name,(ROW()-ROW(MSPTasks[[#Headers],[ID]])))="",TRUE()),"",IF(N(INDEX(tsk_ActFinish,(ROW()-ROW(MSPTasks[[#Headers],[ID]]))))=0,"",INDEX(tsk_ActFinish,(ROW()-ROW(MSPTasks[[#Headers],[ID]])))))</f>
        <v/>
      </c>
      <c r="O188" s="126" t="str">
        <f aca="false">IF(IFERROR(INDEX(tsk_Name,(ROW()-ROW(MSPTasks[[#Headers],[ID]])))="",TRUE()),"",INDEX(tsk_PlanStart,(ROW()-ROW(MSPTasks[[#Headers],[ID]]))))</f>
        <v/>
      </c>
      <c r="P188" s="126"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8" s="126" t="str">
        <f aca="false">IF(IFERROR(INDEX(tsk_Name,(ROW()-ROW(MSPTasks[[#Headers],[ID]])))="",TRUE()),"",IF(OR(INDEX(tsk_IsSummary,(ROW()-ROW(MSPTasks[[#Headers],[ID]]))),INDEX(tsk_Mode,(ROW()-ROW(MSPTasks[[#Headers],[ID]])))="Manual"),"",IF(N(INDEX(tsk_ConstraintCode,(ROW()-ROW(MSPTasks[[#Headers],[ID]]))))&lt;2,"",INDEX(tsk_Constraint,(ROW()-ROW(MSPTasks[[#Headers],[ID]]))))))</f>
        <v/>
      </c>
      <c r="W188" s="126"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6" t="str">
        <f aca="false">IF(IFERROR(INDEX(tsk_Name,(ROW()-ROW(MSPTasks[[#Headers],[ID]])))="",TRUE()),"",INDEX(tsk_FcStart,(ROW()-ROW(MSPTasks[[#Headers],[ID]]))))</f>
        <v/>
      </c>
      <c r="H189" s="126"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IF(IFERROR(INDEX(tsk_Name,(ROW()-ROW(MSPTasks[[#Headers],[ID]])))="",TRUE()),"",INDEX(tsk_ResourceNames,(ROW()-ROW(MSPTasks[[#Headers],[ID]])))&amp;"")</f>
        <v/>
      </c>
      <c r="L189" s="24" t="str">
        <f aca="false">IF(IFERROR(INDEX(tsk_Name,(ROW()-ROW(MSPTasks[[#Headers],[ID]])))="",TRUE()),"",IF(INDEX(tsk_IsSummary,(ROW()-ROW(MSPTasks[[#Headers],[ID]]))),"",ROUND(INDEX(tsk_Progress,(ROW()-ROW(MSPTasks[[#Headers],[ID]])))*100,0)))</f>
        <v/>
      </c>
      <c r="M189" s="126" t="str">
        <f aca="false">IF(IFERROR(INDEX(tsk_Name,(ROW()-ROW(MSPTasks[[#Headers],[ID]])))="",TRUE()),"",IF(N(INDEX(tsk_ActStart,(ROW()-ROW(MSPTasks[[#Headers],[ID]]))))=0,"",INDEX(tsk_ActStart,(ROW()-ROW(MSPTasks[[#Headers],[ID]])))))</f>
        <v/>
      </c>
      <c r="N189" s="126" t="str">
        <f aca="false">IF(IFERROR(INDEX(tsk_Name,(ROW()-ROW(MSPTasks[[#Headers],[ID]])))="",TRUE()),"",IF(N(INDEX(tsk_ActFinish,(ROW()-ROW(MSPTasks[[#Headers],[ID]]))))=0,"",INDEX(tsk_ActFinish,(ROW()-ROW(MSPTasks[[#Headers],[ID]])))))</f>
        <v/>
      </c>
      <c r="O189" s="126" t="str">
        <f aca="false">IF(IFERROR(INDEX(tsk_Name,(ROW()-ROW(MSPTasks[[#Headers],[ID]])))="",TRUE()),"",INDEX(tsk_PlanStart,(ROW()-ROW(MSPTasks[[#Headers],[ID]]))))</f>
        <v/>
      </c>
      <c r="P189" s="126"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9" s="126" t="str">
        <f aca="false">IF(IFERROR(INDEX(tsk_Name,(ROW()-ROW(MSPTasks[[#Headers],[ID]])))="",TRUE()),"",IF(OR(INDEX(tsk_IsSummary,(ROW()-ROW(MSPTasks[[#Headers],[ID]]))),INDEX(tsk_Mode,(ROW()-ROW(MSPTasks[[#Headers],[ID]])))="Manual"),"",IF(N(INDEX(tsk_ConstraintCode,(ROW()-ROW(MSPTasks[[#Headers],[ID]]))))&lt;2,"",INDEX(tsk_Constraint,(ROW()-ROW(MSPTasks[[#Headers],[ID]]))))))</f>
        <v/>
      </c>
      <c r="W189" s="126"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6" t="str">
        <f aca="false">IF(IFERROR(INDEX(tsk_Name,(ROW()-ROW(MSPTasks[[#Headers],[ID]])))="",TRUE()),"",INDEX(tsk_FcStart,(ROW()-ROW(MSPTasks[[#Headers],[ID]]))))</f>
        <v/>
      </c>
      <c r="H190" s="126"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IF(IFERROR(INDEX(tsk_Name,(ROW()-ROW(MSPTasks[[#Headers],[ID]])))="",TRUE()),"",INDEX(tsk_ResourceNames,(ROW()-ROW(MSPTasks[[#Headers],[ID]])))&amp;"")</f>
        <v/>
      </c>
      <c r="L190" s="24" t="str">
        <f aca="false">IF(IFERROR(INDEX(tsk_Name,(ROW()-ROW(MSPTasks[[#Headers],[ID]])))="",TRUE()),"",IF(INDEX(tsk_IsSummary,(ROW()-ROW(MSPTasks[[#Headers],[ID]]))),"",ROUND(INDEX(tsk_Progress,(ROW()-ROW(MSPTasks[[#Headers],[ID]])))*100,0)))</f>
        <v/>
      </c>
      <c r="M190" s="126" t="str">
        <f aca="false">IF(IFERROR(INDEX(tsk_Name,(ROW()-ROW(MSPTasks[[#Headers],[ID]])))="",TRUE()),"",IF(N(INDEX(tsk_ActStart,(ROW()-ROW(MSPTasks[[#Headers],[ID]]))))=0,"",INDEX(tsk_ActStart,(ROW()-ROW(MSPTasks[[#Headers],[ID]])))))</f>
        <v/>
      </c>
      <c r="N190" s="126" t="str">
        <f aca="false">IF(IFERROR(INDEX(tsk_Name,(ROW()-ROW(MSPTasks[[#Headers],[ID]])))="",TRUE()),"",IF(N(INDEX(tsk_ActFinish,(ROW()-ROW(MSPTasks[[#Headers],[ID]]))))=0,"",INDEX(tsk_ActFinish,(ROW()-ROW(MSPTasks[[#Headers],[ID]])))))</f>
        <v/>
      </c>
      <c r="O190" s="126" t="str">
        <f aca="false">IF(IFERROR(INDEX(tsk_Name,(ROW()-ROW(MSPTasks[[#Headers],[ID]])))="",TRUE()),"",INDEX(tsk_PlanStart,(ROW()-ROW(MSPTasks[[#Headers],[ID]]))))</f>
        <v/>
      </c>
      <c r="P190" s="126"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0" s="126" t="str">
        <f aca="false">IF(IFERROR(INDEX(tsk_Name,(ROW()-ROW(MSPTasks[[#Headers],[ID]])))="",TRUE()),"",IF(OR(INDEX(tsk_IsSummary,(ROW()-ROW(MSPTasks[[#Headers],[ID]]))),INDEX(tsk_Mode,(ROW()-ROW(MSPTasks[[#Headers],[ID]])))="Manual"),"",IF(N(INDEX(tsk_ConstraintCode,(ROW()-ROW(MSPTasks[[#Headers],[ID]]))))&lt;2,"",INDEX(tsk_Constraint,(ROW()-ROW(MSPTasks[[#Headers],[ID]]))))))</f>
        <v/>
      </c>
      <c r="W190" s="126"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6" t="str">
        <f aca="false">IF(IFERROR(INDEX(tsk_Name,(ROW()-ROW(MSPTasks[[#Headers],[ID]])))="",TRUE()),"",INDEX(tsk_FcStart,(ROW()-ROW(MSPTasks[[#Headers],[ID]]))))</f>
        <v/>
      </c>
      <c r="H191" s="126"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IF(IFERROR(INDEX(tsk_Name,(ROW()-ROW(MSPTasks[[#Headers],[ID]])))="",TRUE()),"",INDEX(tsk_ResourceNames,(ROW()-ROW(MSPTasks[[#Headers],[ID]])))&amp;"")</f>
        <v/>
      </c>
      <c r="L191" s="24" t="str">
        <f aca="false">IF(IFERROR(INDEX(tsk_Name,(ROW()-ROW(MSPTasks[[#Headers],[ID]])))="",TRUE()),"",IF(INDEX(tsk_IsSummary,(ROW()-ROW(MSPTasks[[#Headers],[ID]]))),"",ROUND(INDEX(tsk_Progress,(ROW()-ROW(MSPTasks[[#Headers],[ID]])))*100,0)))</f>
        <v/>
      </c>
      <c r="M191" s="126" t="str">
        <f aca="false">IF(IFERROR(INDEX(tsk_Name,(ROW()-ROW(MSPTasks[[#Headers],[ID]])))="",TRUE()),"",IF(N(INDEX(tsk_ActStart,(ROW()-ROW(MSPTasks[[#Headers],[ID]]))))=0,"",INDEX(tsk_ActStart,(ROW()-ROW(MSPTasks[[#Headers],[ID]])))))</f>
        <v/>
      </c>
      <c r="N191" s="126" t="str">
        <f aca="false">IF(IFERROR(INDEX(tsk_Name,(ROW()-ROW(MSPTasks[[#Headers],[ID]])))="",TRUE()),"",IF(N(INDEX(tsk_ActFinish,(ROW()-ROW(MSPTasks[[#Headers],[ID]]))))=0,"",INDEX(tsk_ActFinish,(ROW()-ROW(MSPTasks[[#Headers],[ID]])))))</f>
        <v/>
      </c>
      <c r="O191" s="126" t="str">
        <f aca="false">IF(IFERROR(INDEX(tsk_Name,(ROW()-ROW(MSPTasks[[#Headers],[ID]])))="",TRUE()),"",INDEX(tsk_PlanStart,(ROW()-ROW(MSPTasks[[#Headers],[ID]]))))</f>
        <v/>
      </c>
      <c r="P191" s="126"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1" s="126" t="str">
        <f aca="false">IF(IFERROR(INDEX(tsk_Name,(ROW()-ROW(MSPTasks[[#Headers],[ID]])))="",TRUE()),"",IF(OR(INDEX(tsk_IsSummary,(ROW()-ROW(MSPTasks[[#Headers],[ID]]))),INDEX(tsk_Mode,(ROW()-ROW(MSPTasks[[#Headers],[ID]])))="Manual"),"",IF(N(INDEX(tsk_ConstraintCode,(ROW()-ROW(MSPTasks[[#Headers],[ID]]))))&lt;2,"",INDEX(tsk_Constraint,(ROW()-ROW(MSPTasks[[#Headers],[ID]]))))))</f>
        <v/>
      </c>
      <c r="W191" s="126"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6" t="str">
        <f aca="false">IF(IFERROR(INDEX(tsk_Name,(ROW()-ROW(MSPTasks[[#Headers],[ID]])))="",TRUE()),"",INDEX(tsk_FcStart,(ROW()-ROW(MSPTasks[[#Headers],[ID]]))))</f>
        <v/>
      </c>
      <c r="H192" s="126"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IF(IFERROR(INDEX(tsk_Name,(ROW()-ROW(MSPTasks[[#Headers],[ID]])))="",TRUE()),"",INDEX(tsk_ResourceNames,(ROW()-ROW(MSPTasks[[#Headers],[ID]])))&amp;"")</f>
        <v/>
      </c>
      <c r="L192" s="24" t="str">
        <f aca="false">IF(IFERROR(INDEX(tsk_Name,(ROW()-ROW(MSPTasks[[#Headers],[ID]])))="",TRUE()),"",IF(INDEX(tsk_IsSummary,(ROW()-ROW(MSPTasks[[#Headers],[ID]]))),"",ROUND(INDEX(tsk_Progress,(ROW()-ROW(MSPTasks[[#Headers],[ID]])))*100,0)))</f>
        <v/>
      </c>
      <c r="M192" s="126" t="str">
        <f aca="false">IF(IFERROR(INDEX(tsk_Name,(ROW()-ROW(MSPTasks[[#Headers],[ID]])))="",TRUE()),"",IF(N(INDEX(tsk_ActStart,(ROW()-ROW(MSPTasks[[#Headers],[ID]]))))=0,"",INDEX(tsk_ActStart,(ROW()-ROW(MSPTasks[[#Headers],[ID]])))))</f>
        <v/>
      </c>
      <c r="N192" s="126" t="str">
        <f aca="false">IF(IFERROR(INDEX(tsk_Name,(ROW()-ROW(MSPTasks[[#Headers],[ID]])))="",TRUE()),"",IF(N(INDEX(tsk_ActFinish,(ROW()-ROW(MSPTasks[[#Headers],[ID]]))))=0,"",INDEX(tsk_ActFinish,(ROW()-ROW(MSPTasks[[#Headers],[ID]])))))</f>
        <v/>
      </c>
      <c r="O192" s="126" t="str">
        <f aca="false">IF(IFERROR(INDEX(tsk_Name,(ROW()-ROW(MSPTasks[[#Headers],[ID]])))="",TRUE()),"",INDEX(tsk_PlanStart,(ROW()-ROW(MSPTasks[[#Headers],[ID]]))))</f>
        <v/>
      </c>
      <c r="P192" s="126"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2" s="126" t="str">
        <f aca="false">IF(IFERROR(INDEX(tsk_Name,(ROW()-ROW(MSPTasks[[#Headers],[ID]])))="",TRUE()),"",IF(OR(INDEX(tsk_IsSummary,(ROW()-ROW(MSPTasks[[#Headers],[ID]]))),INDEX(tsk_Mode,(ROW()-ROW(MSPTasks[[#Headers],[ID]])))="Manual"),"",IF(N(INDEX(tsk_ConstraintCode,(ROW()-ROW(MSPTasks[[#Headers],[ID]]))))&lt;2,"",INDEX(tsk_Constraint,(ROW()-ROW(MSPTasks[[#Headers],[ID]]))))))</f>
        <v/>
      </c>
      <c r="W192" s="126"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6" t="str">
        <f aca="false">IF(IFERROR(INDEX(tsk_Name,(ROW()-ROW(MSPTasks[[#Headers],[ID]])))="",TRUE()),"",INDEX(tsk_FcStart,(ROW()-ROW(MSPTasks[[#Headers],[ID]]))))</f>
        <v/>
      </c>
      <c r="H193" s="126"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IF(IFERROR(INDEX(tsk_Name,(ROW()-ROW(MSPTasks[[#Headers],[ID]])))="",TRUE()),"",INDEX(tsk_ResourceNames,(ROW()-ROW(MSPTasks[[#Headers],[ID]])))&amp;"")</f>
        <v/>
      </c>
      <c r="L193" s="24" t="str">
        <f aca="false">IF(IFERROR(INDEX(tsk_Name,(ROW()-ROW(MSPTasks[[#Headers],[ID]])))="",TRUE()),"",IF(INDEX(tsk_IsSummary,(ROW()-ROW(MSPTasks[[#Headers],[ID]]))),"",ROUND(INDEX(tsk_Progress,(ROW()-ROW(MSPTasks[[#Headers],[ID]])))*100,0)))</f>
        <v/>
      </c>
      <c r="M193" s="126" t="str">
        <f aca="false">IF(IFERROR(INDEX(tsk_Name,(ROW()-ROW(MSPTasks[[#Headers],[ID]])))="",TRUE()),"",IF(N(INDEX(tsk_ActStart,(ROW()-ROW(MSPTasks[[#Headers],[ID]]))))=0,"",INDEX(tsk_ActStart,(ROW()-ROW(MSPTasks[[#Headers],[ID]])))))</f>
        <v/>
      </c>
      <c r="N193" s="126" t="str">
        <f aca="false">IF(IFERROR(INDEX(tsk_Name,(ROW()-ROW(MSPTasks[[#Headers],[ID]])))="",TRUE()),"",IF(N(INDEX(tsk_ActFinish,(ROW()-ROW(MSPTasks[[#Headers],[ID]]))))=0,"",INDEX(tsk_ActFinish,(ROW()-ROW(MSPTasks[[#Headers],[ID]])))))</f>
        <v/>
      </c>
      <c r="O193" s="126" t="str">
        <f aca="false">IF(IFERROR(INDEX(tsk_Name,(ROW()-ROW(MSPTasks[[#Headers],[ID]])))="",TRUE()),"",INDEX(tsk_PlanStart,(ROW()-ROW(MSPTasks[[#Headers],[ID]]))))</f>
        <v/>
      </c>
      <c r="P193" s="126"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3" s="126" t="str">
        <f aca="false">IF(IFERROR(INDEX(tsk_Name,(ROW()-ROW(MSPTasks[[#Headers],[ID]])))="",TRUE()),"",IF(OR(INDEX(tsk_IsSummary,(ROW()-ROW(MSPTasks[[#Headers],[ID]]))),INDEX(tsk_Mode,(ROW()-ROW(MSPTasks[[#Headers],[ID]])))="Manual"),"",IF(N(INDEX(tsk_ConstraintCode,(ROW()-ROW(MSPTasks[[#Headers],[ID]]))))&lt;2,"",INDEX(tsk_Constraint,(ROW()-ROW(MSPTasks[[#Headers],[ID]]))))))</f>
        <v/>
      </c>
      <c r="W193" s="126"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6" t="str">
        <f aca="false">IF(IFERROR(INDEX(tsk_Name,(ROW()-ROW(MSPTasks[[#Headers],[ID]])))="",TRUE()),"",INDEX(tsk_FcStart,(ROW()-ROW(MSPTasks[[#Headers],[ID]]))))</f>
        <v/>
      </c>
      <c r="H194" s="126"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IF(IFERROR(INDEX(tsk_Name,(ROW()-ROW(MSPTasks[[#Headers],[ID]])))="",TRUE()),"",INDEX(tsk_ResourceNames,(ROW()-ROW(MSPTasks[[#Headers],[ID]])))&amp;"")</f>
        <v/>
      </c>
      <c r="L194" s="24" t="str">
        <f aca="false">IF(IFERROR(INDEX(tsk_Name,(ROW()-ROW(MSPTasks[[#Headers],[ID]])))="",TRUE()),"",IF(INDEX(tsk_IsSummary,(ROW()-ROW(MSPTasks[[#Headers],[ID]]))),"",ROUND(INDEX(tsk_Progress,(ROW()-ROW(MSPTasks[[#Headers],[ID]])))*100,0)))</f>
        <v/>
      </c>
      <c r="M194" s="126" t="str">
        <f aca="false">IF(IFERROR(INDEX(tsk_Name,(ROW()-ROW(MSPTasks[[#Headers],[ID]])))="",TRUE()),"",IF(N(INDEX(tsk_ActStart,(ROW()-ROW(MSPTasks[[#Headers],[ID]]))))=0,"",INDEX(tsk_ActStart,(ROW()-ROW(MSPTasks[[#Headers],[ID]])))))</f>
        <v/>
      </c>
      <c r="N194" s="126" t="str">
        <f aca="false">IF(IFERROR(INDEX(tsk_Name,(ROW()-ROW(MSPTasks[[#Headers],[ID]])))="",TRUE()),"",IF(N(INDEX(tsk_ActFinish,(ROW()-ROW(MSPTasks[[#Headers],[ID]]))))=0,"",INDEX(tsk_ActFinish,(ROW()-ROW(MSPTasks[[#Headers],[ID]])))))</f>
        <v/>
      </c>
      <c r="O194" s="126" t="str">
        <f aca="false">IF(IFERROR(INDEX(tsk_Name,(ROW()-ROW(MSPTasks[[#Headers],[ID]])))="",TRUE()),"",INDEX(tsk_PlanStart,(ROW()-ROW(MSPTasks[[#Headers],[ID]]))))</f>
        <v/>
      </c>
      <c r="P194" s="126"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4" s="126" t="str">
        <f aca="false">IF(IFERROR(INDEX(tsk_Name,(ROW()-ROW(MSPTasks[[#Headers],[ID]])))="",TRUE()),"",IF(OR(INDEX(tsk_IsSummary,(ROW()-ROW(MSPTasks[[#Headers],[ID]]))),INDEX(tsk_Mode,(ROW()-ROW(MSPTasks[[#Headers],[ID]])))="Manual"),"",IF(N(INDEX(tsk_ConstraintCode,(ROW()-ROW(MSPTasks[[#Headers],[ID]]))))&lt;2,"",INDEX(tsk_Constraint,(ROW()-ROW(MSPTasks[[#Headers],[ID]]))))))</f>
        <v/>
      </c>
      <c r="W194" s="126"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6" t="str">
        <f aca="false">IF(IFERROR(INDEX(tsk_Name,(ROW()-ROW(MSPTasks[[#Headers],[ID]])))="",TRUE()),"",INDEX(tsk_FcStart,(ROW()-ROW(MSPTasks[[#Headers],[ID]]))))</f>
        <v/>
      </c>
      <c r="H195" s="126"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IF(IFERROR(INDEX(tsk_Name,(ROW()-ROW(MSPTasks[[#Headers],[ID]])))="",TRUE()),"",INDEX(tsk_ResourceNames,(ROW()-ROW(MSPTasks[[#Headers],[ID]])))&amp;"")</f>
        <v/>
      </c>
      <c r="L195" s="24" t="str">
        <f aca="false">IF(IFERROR(INDEX(tsk_Name,(ROW()-ROW(MSPTasks[[#Headers],[ID]])))="",TRUE()),"",IF(INDEX(tsk_IsSummary,(ROW()-ROW(MSPTasks[[#Headers],[ID]]))),"",ROUND(INDEX(tsk_Progress,(ROW()-ROW(MSPTasks[[#Headers],[ID]])))*100,0)))</f>
        <v/>
      </c>
      <c r="M195" s="126" t="str">
        <f aca="false">IF(IFERROR(INDEX(tsk_Name,(ROW()-ROW(MSPTasks[[#Headers],[ID]])))="",TRUE()),"",IF(N(INDEX(tsk_ActStart,(ROW()-ROW(MSPTasks[[#Headers],[ID]]))))=0,"",INDEX(tsk_ActStart,(ROW()-ROW(MSPTasks[[#Headers],[ID]])))))</f>
        <v/>
      </c>
      <c r="N195" s="126" t="str">
        <f aca="false">IF(IFERROR(INDEX(tsk_Name,(ROW()-ROW(MSPTasks[[#Headers],[ID]])))="",TRUE()),"",IF(N(INDEX(tsk_ActFinish,(ROW()-ROW(MSPTasks[[#Headers],[ID]]))))=0,"",INDEX(tsk_ActFinish,(ROW()-ROW(MSPTasks[[#Headers],[ID]])))))</f>
        <v/>
      </c>
      <c r="O195" s="126" t="str">
        <f aca="false">IF(IFERROR(INDEX(tsk_Name,(ROW()-ROW(MSPTasks[[#Headers],[ID]])))="",TRUE()),"",INDEX(tsk_PlanStart,(ROW()-ROW(MSPTasks[[#Headers],[ID]]))))</f>
        <v/>
      </c>
      <c r="P195" s="126"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5" s="126" t="str">
        <f aca="false">IF(IFERROR(INDEX(tsk_Name,(ROW()-ROW(MSPTasks[[#Headers],[ID]])))="",TRUE()),"",IF(OR(INDEX(tsk_IsSummary,(ROW()-ROW(MSPTasks[[#Headers],[ID]]))),INDEX(tsk_Mode,(ROW()-ROW(MSPTasks[[#Headers],[ID]])))="Manual"),"",IF(N(INDEX(tsk_ConstraintCode,(ROW()-ROW(MSPTasks[[#Headers],[ID]]))))&lt;2,"",INDEX(tsk_Constraint,(ROW()-ROW(MSPTasks[[#Headers],[ID]]))))))</f>
        <v/>
      </c>
      <c r="W195" s="126"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6" t="str">
        <f aca="false">IF(IFERROR(INDEX(tsk_Name,(ROW()-ROW(MSPTasks[[#Headers],[ID]])))="",TRUE()),"",INDEX(tsk_FcStart,(ROW()-ROW(MSPTasks[[#Headers],[ID]]))))</f>
        <v/>
      </c>
      <c r="H196" s="126"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IF(IFERROR(INDEX(tsk_Name,(ROW()-ROW(MSPTasks[[#Headers],[ID]])))="",TRUE()),"",INDEX(tsk_ResourceNames,(ROW()-ROW(MSPTasks[[#Headers],[ID]])))&amp;"")</f>
        <v/>
      </c>
      <c r="L196" s="24" t="str">
        <f aca="false">IF(IFERROR(INDEX(tsk_Name,(ROW()-ROW(MSPTasks[[#Headers],[ID]])))="",TRUE()),"",IF(INDEX(tsk_IsSummary,(ROW()-ROW(MSPTasks[[#Headers],[ID]]))),"",ROUND(INDEX(tsk_Progress,(ROW()-ROW(MSPTasks[[#Headers],[ID]])))*100,0)))</f>
        <v/>
      </c>
      <c r="M196" s="126" t="str">
        <f aca="false">IF(IFERROR(INDEX(tsk_Name,(ROW()-ROW(MSPTasks[[#Headers],[ID]])))="",TRUE()),"",IF(N(INDEX(tsk_ActStart,(ROW()-ROW(MSPTasks[[#Headers],[ID]]))))=0,"",INDEX(tsk_ActStart,(ROW()-ROW(MSPTasks[[#Headers],[ID]])))))</f>
        <v/>
      </c>
      <c r="N196" s="126" t="str">
        <f aca="false">IF(IFERROR(INDEX(tsk_Name,(ROW()-ROW(MSPTasks[[#Headers],[ID]])))="",TRUE()),"",IF(N(INDEX(tsk_ActFinish,(ROW()-ROW(MSPTasks[[#Headers],[ID]]))))=0,"",INDEX(tsk_ActFinish,(ROW()-ROW(MSPTasks[[#Headers],[ID]])))))</f>
        <v/>
      </c>
      <c r="O196" s="126" t="str">
        <f aca="false">IF(IFERROR(INDEX(tsk_Name,(ROW()-ROW(MSPTasks[[#Headers],[ID]])))="",TRUE()),"",INDEX(tsk_PlanStart,(ROW()-ROW(MSPTasks[[#Headers],[ID]]))))</f>
        <v/>
      </c>
      <c r="P196" s="126"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6" s="126" t="str">
        <f aca="false">IF(IFERROR(INDEX(tsk_Name,(ROW()-ROW(MSPTasks[[#Headers],[ID]])))="",TRUE()),"",IF(OR(INDEX(tsk_IsSummary,(ROW()-ROW(MSPTasks[[#Headers],[ID]]))),INDEX(tsk_Mode,(ROW()-ROW(MSPTasks[[#Headers],[ID]])))="Manual"),"",IF(N(INDEX(tsk_ConstraintCode,(ROW()-ROW(MSPTasks[[#Headers],[ID]]))))&lt;2,"",INDEX(tsk_Constraint,(ROW()-ROW(MSPTasks[[#Headers],[ID]]))))))</f>
        <v/>
      </c>
      <c r="W196" s="126"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6" t="str">
        <f aca="false">IF(IFERROR(INDEX(tsk_Name,(ROW()-ROW(MSPTasks[[#Headers],[ID]])))="",TRUE()),"",INDEX(tsk_FcStart,(ROW()-ROW(MSPTasks[[#Headers],[ID]]))))</f>
        <v/>
      </c>
      <c r="H197" s="126"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IF(IFERROR(INDEX(tsk_Name,(ROW()-ROW(MSPTasks[[#Headers],[ID]])))="",TRUE()),"",INDEX(tsk_ResourceNames,(ROW()-ROW(MSPTasks[[#Headers],[ID]])))&amp;"")</f>
        <v/>
      </c>
      <c r="L197" s="24" t="str">
        <f aca="false">IF(IFERROR(INDEX(tsk_Name,(ROW()-ROW(MSPTasks[[#Headers],[ID]])))="",TRUE()),"",IF(INDEX(tsk_IsSummary,(ROW()-ROW(MSPTasks[[#Headers],[ID]]))),"",ROUND(INDEX(tsk_Progress,(ROW()-ROW(MSPTasks[[#Headers],[ID]])))*100,0)))</f>
        <v/>
      </c>
      <c r="M197" s="126" t="str">
        <f aca="false">IF(IFERROR(INDEX(tsk_Name,(ROW()-ROW(MSPTasks[[#Headers],[ID]])))="",TRUE()),"",IF(N(INDEX(tsk_ActStart,(ROW()-ROW(MSPTasks[[#Headers],[ID]]))))=0,"",INDEX(tsk_ActStart,(ROW()-ROW(MSPTasks[[#Headers],[ID]])))))</f>
        <v/>
      </c>
      <c r="N197" s="126" t="str">
        <f aca="false">IF(IFERROR(INDEX(tsk_Name,(ROW()-ROW(MSPTasks[[#Headers],[ID]])))="",TRUE()),"",IF(N(INDEX(tsk_ActFinish,(ROW()-ROW(MSPTasks[[#Headers],[ID]]))))=0,"",INDEX(tsk_ActFinish,(ROW()-ROW(MSPTasks[[#Headers],[ID]])))))</f>
        <v/>
      </c>
      <c r="O197" s="126" t="str">
        <f aca="false">IF(IFERROR(INDEX(tsk_Name,(ROW()-ROW(MSPTasks[[#Headers],[ID]])))="",TRUE()),"",INDEX(tsk_PlanStart,(ROW()-ROW(MSPTasks[[#Headers],[ID]]))))</f>
        <v/>
      </c>
      <c r="P197" s="126"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7" s="126" t="str">
        <f aca="false">IF(IFERROR(INDEX(tsk_Name,(ROW()-ROW(MSPTasks[[#Headers],[ID]])))="",TRUE()),"",IF(OR(INDEX(tsk_IsSummary,(ROW()-ROW(MSPTasks[[#Headers],[ID]]))),INDEX(tsk_Mode,(ROW()-ROW(MSPTasks[[#Headers],[ID]])))="Manual"),"",IF(N(INDEX(tsk_ConstraintCode,(ROW()-ROW(MSPTasks[[#Headers],[ID]]))))&lt;2,"",INDEX(tsk_Constraint,(ROW()-ROW(MSPTasks[[#Headers],[ID]]))))))</f>
        <v/>
      </c>
      <c r="W197" s="126"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6" t="str">
        <f aca="false">IF(IFERROR(INDEX(tsk_Name,(ROW()-ROW(MSPTasks[[#Headers],[ID]])))="",TRUE()),"",INDEX(tsk_FcStart,(ROW()-ROW(MSPTasks[[#Headers],[ID]]))))</f>
        <v/>
      </c>
      <c r="H198" s="126"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IF(IFERROR(INDEX(tsk_Name,(ROW()-ROW(MSPTasks[[#Headers],[ID]])))="",TRUE()),"",INDEX(tsk_ResourceNames,(ROW()-ROW(MSPTasks[[#Headers],[ID]])))&amp;"")</f>
        <v/>
      </c>
      <c r="L198" s="24" t="str">
        <f aca="false">IF(IFERROR(INDEX(tsk_Name,(ROW()-ROW(MSPTasks[[#Headers],[ID]])))="",TRUE()),"",IF(INDEX(tsk_IsSummary,(ROW()-ROW(MSPTasks[[#Headers],[ID]]))),"",ROUND(INDEX(tsk_Progress,(ROW()-ROW(MSPTasks[[#Headers],[ID]])))*100,0)))</f>
        <v/>
      </c>
      <c r="M198" s="126" t="str">
        <f aca="false">IF(IFERROR(INDEX(tsk_Name,(ROW()-ROW(MSPTasks[[#Headers],[ID]])))="",TRUE()),"",IF(N(INDEX(tsk_ActStart,(ROW()-ROW(MSPTasks[[#Headers],[ID]]))))=0,"",INDEX(tsk_ActStart,(ROW()-ROW(MSPTasks[[#Headers],[ID]])))))</f>
        <v/>
      </c>
      <c r="N198" s="126" t="str">
        <f aca="false">IF(IFERROR(INDEX(tsk_Name,(ROW()-ROW(MSPTasks[[#Headers],[ID]])))="",TRUE()),"",IF(N(INDEX(tsk_ActFinish,(ROW()-ROW(MSPTasks[[#Headers],[ID]]))))=0,"",INDEX(tsk_ActFinish,(ROW()-ROW(MSPTasks[[#Headers],[ID]])))))</f>
        <v/>
      </c>
      <c r="O198" s="126" t="str">
        <f aca="false">IF(IFERROR(INDEX(tsk_Name,(ROW()-ROW(MSPTasks[[#Headers],[ID]])))="",TRUE()),"",INDEX(tsk_PlanStart,(ROW()-ROW(MSPTasks[[#Headers],[ID]]))))</f>
        <v/>
      </c>
      <c r="P198" s="126"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8" s="126" t="str">
        <f aca="false">IF(IFERROR(INDEX(tsk_Name,(ROW()-ROW(MSPTasks[[#Headers],[ID]])))="",TRUE()),"",IF(OR(INDEX(tsk_IsSummary,(ROW()-ROW(MSPTasks[[#Headers],[ID]]))),INDEX(tsk_Mode,(ROW()-ROW(MSPTasks[[#Headers],[ID]])))="Manual"),"",IF(N(INDEX(tsk_ConstraintCode,(ROW()-ROW(MSPTasks[[#Headers],[ID]]))))&lt;2,"",INDEX(tsk_Constraint,(ROW()-ROW(MSPTasks[[#Headers],[ID]]))))))</f>
        <v/>
      </c>
      <c r="W198" s="126"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6" t="str">
        <f aca="false">IF(IFERROR(INDEX(tsk_Name,(ROW()-ROW(MSPTasks[[#Headers],[ID]])))="",TRUE()),"",INDEX(tsk_FcStart,(ROW()-ROW(MSPTasks[[#Headers],[ID]]))))</f>
        <v/>
      </c>
      <c r="H199" s="126"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IF(IFERROR(INDEX(tsk_Name,(ROW()-ROW(MSPTasks[[#Headers],[ID]])))="",TRUE()),"",INDEX(tsk_ResourceNames,(ROW()-ROW(MSPTasks[[#Headers],[ID]])))&amp;"")</f>
        <v/>
      </c>
      <c r="L199" s="24" t="str">
        <f aca="false">IF(IFERROR(INDEX(tsk_Name,(ROW()-ROW(MSPTasks[[#Headers],[ID]])))="",TRUE()),"",IF(INDEX(tsk_IsSummary,(ROW()-ROW(MSPTasks[[#Headers],[ID]]))),"",ROUND(INDEX(tsk_Progress,(ROW()-ROW(MSPTasks[[#Headers],[ID]])))*100,0)))</f>
        <v/>
      </c>
      <c r="M199" s="126" t="str">
        <f aca="false">IF(IFERROR(INDEX(tsk_Name,(ROW()-ROW(MSPTasks[[#Headers],[ID]])))="",TRUE()),"",IF(N(INDEX(tsk_ActStart,(ROW()-ROW(MSPTasks[[#Headers],[ID]]))))=0,"",INDEX(tsk_ActStart,(ROW()-ROW(MSPTasks[[#Headers],[ID]])))))</f>
        <v/>
      </c>
      <c r="N199" s="126" t="str">
        <f aca="false">IF(IFERROR(INDEX(tsk_Name,(ROW()-ROW(MSPTasks[[#Headers],[ID]])))="",TRUE()),"",IF(N(INDEX(tsk_ActFinish,(ROW()-ROW(MSPTasks[[#Headers],[ID]]))))=0,"",INDEX(tsk_ActFinish,(ROW()-ROW(MSPTasks[[#Headers],[ID]])))))</f>
        <v/>
      </c>
      <c r="O199" s="126" t="str">
        <f aca="false">IF(IFERROR(INDEX(tsk_Name,(ROW()-ROW(MSPTasks[[#Headers],[ID]])))="",TRUE()),"",INDEX(tsk_PlanStart,(ROW()-ROW(MSPTasks[[#Headers],[ID]]))))</f>
        <v/>
      </c>
      <c r="P199" s="126"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9" s="126" t="str">
        <f aca="false">IF(IFERROR(INDEX(tsk_Name,(ROW()-ROW(MSPTasks[[#Headers],[ID]])))="",TRUE()),"",IF(OR(INDEX(tsk_IsSummary,(ROW()-ROW(MSPTasks[[#Headers],[ID]]))),INDEX(tsk_Mode,(ROW()-ROW(MSPTasks[[#Headers],[ID]])))="Manual"),"",IF(N(INDEX(tsk_ConstraintCode,(ROW()-ROW(MSPTasks[[#Headers],[ID]]))))&lt;2,"",INDEX(tsk_Constraint,(ROW()-ROW(MSPTasks[[#Headers],[ID]]))))))</f>
        <v/>
      </c>
      <c r="W199" s="126"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6" t="str">
        <f aca="false">IF(IFERROR(INDEX(tsk_Name,(ROW()-ROW(MSPTasks[[#Headers],[ID]])))="",TRUE()),"",INDEX(tsk_FcStart,(ROW()-ROW(MSPTasks[[#Headers],[ID]]))))</f>
        <v/>
      </c>
      <c r="H200" s="126"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IF(IFERROR(INDEX(tsk_Name,(ROW()-ROW(MSPTasks[[#Headers],[ID]])))="",TRUE()),"",INDEX(tsk_ResourceNames,(ROW()-ROW(MSPTasks[[#Headers],[ID]])))&amp;"")</f>
        <v/>
      </c>
      <c r="L200" s="24" t="str">
        <f aca="false">IF(IFERROR(INDEX(tsk_Name,(ROW()-ROW(MSPTasks[[#Headers],[ID]])))="",TRUE()),"",IF(INDEX(tsk_IsSummary,(ROW()-ROW(MSPTasks[[#Headers],[ID]]))),"",ROUND(INDEX(tsk_Progress,(ROW()-ROW(MSPTasks[[#Headers],[ID]])))*100,0)))</f>
        <v/>
      </c>
      <c r="M200" s="126" t="str">
        <f aca="false">IF(IFERROR(INDEX(tsk_Name,(ROW()-ROW(MSPTasks[[#Headers],[ID]])))="",TRUE()),"",IF(N(INDEX(tsk_ActStart,(ROW()-ROW(MSPTasks[[#Headers],[ID]]))))=0,"",INDEX(tsk_ActStart,(ROW()-ROW(MSPTasks[[#Headers],[ID]])))))</f>
        <v/>
      </c>
      <c r="N200" s="126" t="str">
        <f aca="false">IF(IFERROR(INDEX(tsk_Name,(ROW()-ROW(MSPTasks[[#Headers],[ID]])))="",TRUE()),"",IF(N(INDEX(tsk_ActFinish,(ROW()-ROW(MSPTasks[[#Headers],[ID]]))))=0,"",INDEX(tsk_ActFinish,(ROW()-ROW(MSPTasks[[#Headers],[ID]])))))</f>
        <v/>
      </c>
      <c r="O200" s="126" t="str">
        <f aca="false">IF(IFERROR(INDEX(tsk_Name,(ROW()-ROW(MSPTasks[[#Headers],[ID]])))="",TRUE()),"",INDEX(tsk_PlanStart,(ROW()-ROW(MSPTasks[[#Headers],[ID]]))))</f>
        <v/>
      </c>
      <c r="P200" s="126"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0" s="126" t="str">
        <f aca="false">IF(IFERROR(INDEX(tsk_Name,(ROW()-ROW(MSPTasks[[#Headers],[ID]])))="",TRUE()),"",IF(OR(INDEX(tsk_IsSummary,(ROW()-ROW(MSPTasks[[#Headers],[ID]]))),INDEX(tsk_Mode,(ROW()-ROW(MSPTasks[[#Headers],[ID]])))="Manual"),"",IF(N(INDEX(tsk_ConstraintCode,(ROW()-ROW(MSPTasks[[#Headers],[ID]]))))&lt;2,"",INDEX(tsk_Constraint,(ROW()-ROW(MSPTasks[[#Headers],[ID]]))))))</f>
        <v/>
      </c>
      <c r="W200" s="126"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6" t="str">
        <f aca="false">IF(IFERROR(INDEX(tsk_Name,(ROW()-ROW(MSPTasks[[#Headers],[ID]])))="",TRUE()),"",INDEX(tsk_FcStart,(ROW()-ROW(MSPTasks[[#Headers],[ID]]))))</f>
        <v/>
      </c>
      <c r="H201" s="126"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IF(IFERROR(INDEX(tsk_Name,(ROW()-ROW(MSPTasks[[#Headers],[ID]])))="",TRUE()),"",INDEX(tsk_ResourceNames,(ROW()-ROW(MSPTasks[[#Headers],[ID]])))&amp;"")</f>
        <v/>
      </c>
      <c r="L201" s="24" t="str">
        <f aca="false">IF(IFERROR(INDEX(tsk_Name,(ROW()-ROW(MSPTasks[[#Headers],[ID]])))="",TRUE()),"",IF(INDEX(tsk_IsSummary,(ROW()-ROW(MSPTasks[[#Headers],[ID]]))),"",ROUND(INDEX(tsk_Progress,(ROW()-ROW(MSPTasks[[#Headers],[ID]])))*100,0)))</f>
        <v/>
      </c>
      <c r="M201" s="126" t="str">
        <f aca="false">IF(IFERROR(INDEX(tsk_Name,(ROW()-ROW(MSPTasks[[#Headers],[ID]])))="",TRUE()),"",IF(N(INDEX(tsk_ActStart,(ROW()-ROW(MSPTasks[[#Headers],[ID]]))))=0,"",INDEX(tsk_ActStart,(ROW()-ROW(MSPTasks[[#Headers],[ID]])))))</f>
        <v/>
      </c>
      <c r="N201" s="126" t="str">
        <f aca="false">IF(IFERROR(INDEX(tsk_Name,(ROW()-ROW(MSPTasks[[#Headers],[ID]])))="",TRUE()),"",IF(N(INDEX(tsk_ActFinish,(ROW()-ROW(MSPTasks[[#Headers],[ID]]))))=0,"",INDEX(tsk_ActFinish,(ROW()-ROW(MSPTasks[[#Headers],[ID]])))))</f>
        <v/>
      </c>
      <c r="O201" s="126" t="str">
        <f aca="false">IF(IFERROR(INDEX(tsk_Name,(ROW()-ROW(MSPTasks[[#Headers],[ID]])))="",TRUE()),"",INDEX(tsk_PlanStart,(ROW()-ROW(MSPTasks[[#Headers],[ID]]))))</f>
        <v/>
      </c>
      <c r="P201" s="126"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1" s="126" t="str">
        <f aca="false">IF(IFERROR(INDEX(tsk_Name,(ROW()-ROW(MSPTasks[[#Headers],[ID]])))="",TRUE()),"",IF(OR(INDEX(tsk_IsSummary,(ROW()-ROW(MSPTasks[[#Headers],[ID]]))),INDEX(tsk_Mode,(ROW()-ROW(MSPTasks[[#Headers],[ID]])))="Manual"),"",IF(N(INDEX(tsk_ConstraintCode,(ROW()-ROW(MSPTasks[[#Headers],[ID]]))))&lt;2,"",INDEX(tsk_Constraint,(ROW()-ROW(MSPTasks[[#Headers],[ID]]))))))</f>
        <v/>
      </c>
      <c r="W201" s="126"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677</v>
      </c>
      <c r="B1" s="9" t="s">
        <v>597</v>
      </c>
      <c r="C1" s="9" t="s">
        <v>598</v>
      </c>
      <c r="D1" s="9" t="s">
        <v>275</v>
      </c>
      <c r="E1" s="9" t="s">
        <v>231</v>
      </c>
      <c r="F1" s="9" t="s">
        <v>685</v>
      </c>
      <c r="G1" s="9" t="s">
        <v>686</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27" t="s">
        <v>687</v>
      </c>
      <c r="C1" s="27" t="s">
        <v>679</v>
      </c>
      <c r="E1" s="27" t="s">
        <v>465</v>
      </c>
      <c r="G1" s="27" t="s">
        <v>688</v>
      </c>
      <c r="I1" s="27" t="s">
        <v>689</v>
      </c>
      <c r="K1" s="27" t="s">
        <v>690</v>
      </c>
      <c r="M1" s="27" t="s">
        <v>133</v>
      </c>
      <c r="O1" s="27" t="s">
        <v>691</v>
      </c>
      <c r="Q1" s="27" t="s">
        <v>692</v>
      </c>
      <c r="S1" s="27" t="s">
        <v>693</v>
      </c>
      <c r="U1" s="27" t="s">
        <v>694</v>
      </c>
    </row>
    <row r="2" customFormat="false" ht="15" hidden="false" customHeight="false" outlineLevel="0" collapsed="false">
      <c r="A2" s="30" t="s">
        <v>695</v>
      </c>
      <c r="C2" s="30" t="s">
        <v>696</v>
      </c>
      <c r="E2" s="30" t="s">
        <v>697</v>
      </c>
      <c r="G2" s="30" t="s">
        <v>339</v>
      </c>
      <c r="I2" s="30" t="s">
        <v>233</v>
      </c>
      <c r="K2" s="30" t="n">
        <v>1</v>
      </c>
      <c r="M2" s="30" t="s">
        <v>698</v>
      </c>
      <c r="O2" s="30" t="s">
        <v>699</v>
      </c>
      <c r="Q2" s="30" t="s">
        <v>700</v>
      </c>
      <c r="S2" s="30" t="s">
        <v>701</v>
      </c>
      <c r="U2" s="30" t="s">
        <v>702</v>
      </c>
    </row>
    <row r="3" customFormat="false" ht="15" hidden="false" customHeight="false" outlineLevel="0" collapsed="false">
      <c r="A3" s="30" t="s">
        <v>703</v>
      </c>
      <c r="C3" s="30" t="s">
        <v>704</v>
      </c>
      <c r="E3" s="30" t="s">
        <v>705</v>
      </c>
      <c r="G3" s="30" t="s">
        <v>360</v>
      </c>
      <c r="I3" s="30" t="s">
        <v>706</v>
      </c>
      <c r="K3" s="30" t="n">
        <v>7</v>
      </c>
      <c r="M3" s="30" t="s">
        <v>707</v>
      </c>
      <c r="O3" s="30" t="s">
        <v>708</v>
      </c>
      <c r="Q3" s="30" t="s">
        <v>102</v>
      </c>
      <c r="S3" s="30" t="s">
        <v>709</v>
      </c>
      <c r="U3" s="30" t="s">
        <v>710</v>
      </c>
    </row>
    <row r="4" customFormat="false" ht="15" hidden="false" customHeight="false" outlineLevel="0" collapsed="false">
      <c r="A4" s="30" t="s">
        <v>711</v>
      </c>
      <c r="E4" s="30" t="s">
        <v>712</v>
      </c>
      <c r="I4" s="30" t="s">
        <v>236</v>
      </c>
      <c r="M4" s="30" t="s">
        <v>713</v>
      </c>
      <c r="O4" s="30" t="s">
        <v>714</v>
      </c>
      <c r="Q4" s="30" t="s">
        <v>715</v>
      </c>
      <c r="S4" s="30" t="s">
        <v>716</v>
      </c>
      <c r="U4" s="30" t="s">
        <v>709</v>
      </c>
    </row>
    <row r="5" customFormat="false" ht="15" hidden="false" customHeight="false" outlineLevel="0" collapsed="false">
      <c r="A5" s="30" t="s">
        <v>717</v>
      </c>
      <c r="E5" s="30" t="s">
        <v>718</v>
      </c>
      <c r="O5" s="30" t="s">
        <v>719</v>
      </c>
      <c r="S5" s="30" t="s">
        <v>720</v>
      </c>
      <c r="U5" s="30" t="s">
        <v>716</v>
      </c>
    </row>
    <row r="6" customFormat="false" ht="15" hidden="false" customHeight="false" outlineLevel="0" collapsed="false">
      <c r="E6" s="30" t="s">
        <v>721</v>
      </c>
      <c r="U6" s="30" t="s">
        <v>722</v>
      </c>
    </row>
    <row r="7" customFormat="false" ht="15" hidden="false" customHeight="false" outlineLevel="0" collapsed="false">
      <c r="E7" s="30" t="s">
        <v>723</v>
      </c>
    </row>
    <row r="8" customFormat="false" ht="15" hidden="false" customHeight="false" outlineLevel="0" collapsed="false">
      <c r="E8" s="30" t="s">
        <v>724</v>
      </c>
    </row>
    <row r="9" customFormat="false" ht="15" hidden="false" customHeight="false" outlineLevel="0" collapsed="false">
      <c r="E9" s="30" t="s">
        <v>725</v>
      </c>
    </row>
    <row r="11" customFormat="false" ht="15" hidden="false" customHeight="false" outlineLevel="0" collapsed="false">
      <c r="A11" s="8" t="s">
        <v>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2026-10-27T02:08:34Z</dcterms:created>
  <dc:creator>openpyxl</dc:creator>
  <dc:description/>
  <dc:language>en-US</dc:language>
  <cp:lastModifiedBy/>
  <dcterms:modified xsi:type="dcterms:W3CDTF">2026-10-27T02:08:36Z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